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83216FF1-932C-454C-8143-3C6558CA5C33}" xr6:coauthVersionLast="47" xr6:coauthVersionMax="47" xr10:uidLastSave="{00000000-0000-0000-0000-000000000000}"/>
  <bookViews>
    <workbookView showSheetTabs="0" xWindow="-120" yWindow="-120" windowWidth="29040" windowHeight="1584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_xlnm._FilterDatabase" localSheetId="2" hidden="1">'Mapa final'!$A$11:$BE$25</definedName>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1" r:id="rId2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3" i="18" l="1"/>
  <c r="P47" i="18"/>
  <c r="N39" i="18"/>
  <c r="AJ29" i="18"/>
  <c r="AF19" i="18"/>
  <c r="AL19" i="18"/>
  <c r="AF27" i="18"/>
  <c r="AC19" i="1"/>
  <c r="AC20" i="1"/>
  <c r="AC21" i="1"/>
  <c r="AC22" i="1"/>
  <c r="AC23" i="1"/>
  <c r="AC24" i="1"/>
  <c r="S24" i="1"/>
  <c r="S15" i="1"/>
  <c r="S21" i="1" l="1"/>
  <c r="AF21" i="1"/>
  <c r="AO22" i="1"/>
  <c r="AN22" i="1" s="1"/>
  <c r="AF22" i="1"/>
  <c r="T21" i="1" l="1"/>
  <c r="AK21" i="1" s="1"/>
  <c r="AL21" i="1" s="1"/>
  <c r="AM21" i="1" l="1"/>
  <c r="AK22" i="1" s="1"/>
  <c r="AL22" i="1" s="1"/>
  <c r="AP22" i="1" s="1"/>
  <c r="L41" i="19"/>
  <c r="AM22" i="1" l="1"/>
  <c r="AC16" i="1"/>
  <c r="AF16" i="1"/>
  <c r="AC17" i="1"/>
  <c r="AF17" i="1"/>
  <c r="AC18" i="1"/>
  <c r="AF18" i="1"/>
  <c r="S19" i="1"/>
  <c r="AF19" i="1"/>
  <c r="S20" i="1"/>
  <c r="AF20" i="1"/>
  <c r="S23" i="1"/>
  <c r="AF23" i="1"/>
  <c r="AF24" i="1"/>
  <c r="AF15" i="1"/>
  <c r="AC15" i="1"/>
  <c r="T19" i="1" l="1"/>
  <c r="AK19" i="1" s="1"/>
  <c r="AL19" i="1" s="1"/>
  <c r="T23" i="1"/>
  <c r="AK23" i="1" s="1"/>
  <c r="AL23" i="1" s="1"/>
  <c r="T20" i="1"/>
  <c r="AK20" i="1" s="1"/>
  <c r="AL20" i="1"/>
  <c r="AM20" i="1"/>
  <c r="AM19" i="1"/>
  <c r="T24" i="1"/>
  <c r="AK24" i="1" s="1"/>
  <c r="T15" i="1"/>
  <c r="AK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M23" i="1" l="1"/>
  <c r="AL24" i="1"/>
  <c r="AM24" i="1"/>
  <c r="AM15" i="1"/>
  <c r="AK16" i="1" s="1"/>
  <c r="AL15" i="1"/>
  <c r="AN13" i="18"/>
  <c r="AN29" i="18"/>
  <c r="AN37" i="18"/>
  <c r="AN21" i="18"/>
  <c r="AN45" i="18"/>
  <c r="AL16" i="1" l="1"/>
  <c r="AM16" i="1"/>
  <c r="AK17" i="1" s="1"/>
  <c r="H10" i="27"/>
  <c r="G29" i="27" s="1"/>
  <c r="H9" i="27"/>
  <c r="H8" i="27"/>
  <c r="F29" i="27"/>
  <c r="E29" i="27"/>
  <c r="AM17" i="1" l="1"/>
  <c r="AK18" i="1" s="1"/>
  <c r="AL17" i="1"/>
  <c r="S29" i="1"/>
  <c r="AL18" i="1" l="1"/>
  <c r="AM18" i="1"/>
  <c r="F221" i="13"/>
  <c r="F211" i="13"/>
  <c r="F212" i="13"/>
  <c r="F213" i="13"/>
  <c r="F214" i="13"/>
  <c r="F215" i="13"/>
  <c r="F216" i="13"/>
  <c r="F217" i="13"/>
  <c r="F218" i="13"/>
  <c r="F219" i="13"/>
  <c r="F220" i="13"/>
  <c r="F210" i="13"/>
  <c r="B221" i="13" a="1"/>
  <c r="B221" i="13" l="1"/>
  <c r="H210" i="13" l="1"/>
  <c r="V19" i="18" l="1"/>
  <c r="AH19" i="18"/>
  <c r="AN43" i="18"/>
  <c r="P27" i="18"/>
  <c r="AB43" i="18"/>
  <c r="V11" i="18"/>
  <c r="AH11" i="18"/>
  <c r="AB27" i="18"/>
  <c r="AN19" i="18"/>
  <c r="AB11" i="18"/>
  <c r="V43" i="18"/>
  <c r="AN27" i="18"/>
  <c r="AN35" i="18"/>
  <c r="V27" i="18"/>
  <c r="AH43" i="18"/>
  <c r="AH27" i="18"/>
  <c r="AB19" i="18"/>
  <c r="V35" i="18"/>
  <c r="AH35" i="18"/>
  <c r="AN11" i="18"/>
  <c r="AB35" i="18"/>
  <c r="AF35" i="18"/>
  <c r="Z35" i="18"/>
  <c r="T19" i="18"/>
  <c r="Z43" i="18"/>
  <c r="Z27" i="18"/>
  <c r="Z11" i="18"/>
  <c r="T11" i="18"/>
  <c r="T43" i="18"/>
  <c r="AL27" i="18"/>
  <c r="T27" i="18"/>
  <c r="T35" i="18"/>
  <c r="AF43" i="18"/>
  <c r="Z19" i="18"/>
  <c r="AL11" i="18"/>
  <c r="AF11" i="18"/>
  <c r="AL43" i="18"/>
  <c r="AL35" i="18"/>
  <c r="V23" i="1" l="1"/>
  <c r="W23" i="1" s="1"/>
  <c r="AJ15" i="18" s="1"/>
  <c r="V20" i="1"/>
  <c r="V24" i="1"/>
  <c r="W24" i="1" s="1"/>
  <c r="V21" i="1"/>
  <c r="W21" i="1" s="1"/>
  <c r="AJ21" i="18" s="1"/>
  <c r="V15" i="1"/>
  <c r="W15" i="1" s="1"/>
  <c r="AJ19" i="18" s="1"/>
  <c r="V19" i="1"/>
  <c r="W19" i="1" s="1"/>
  <c r="X19" i="1" l="1"/>
  <c r="Y19" i="1"/>
  <c r="T47" i="18"/>
  <c r="AL15" i="18"/>
  <c r="N47" i="18"/>
  <c r="W20" i="1"/>
  <c r="AB37" i="18" s="1"/>
  <c r="AL21" i="18"/>
  <c r="AF29" i="18"/>
  <c r="Y21" i="1"/>
  <c r="X21" i="1"/>
  <c r="AO21" i="1" s="1"/>
  <c r="AN21" i="1" s="1"/>
  <c r="T15" i="18"/>
  <c r="T31" i="18"/>
  <c r="X24" i="1"/>
  <c r="AO24" i="1" s="1"/>
  <c r="AN24" i="1" s="1"/>
  <c r="Z47" i="18"/>
  <c r="AL39" i="18"/>
  <c r="Z31" i="18"/>
  <c r="T39" i="18"/>
  <c r="AL47" i="18"/>
  <c r="AF31" i="18"/>
  <c r="AF39" i="18"/>
  <c r="Z39" i="18"/>
  <c r="AL23" i="18"/>
  <c r="Z23" i="18"/>
  <c r="AL31" i="18"/>
  <c r="T23" i="18"/>
  <c r="Y24" i="1"/>
  <c r="Z15" i="18"/>
  <c r="AF47" i="18"/>
  <c r="AF23" i="18"/>
  <c r="AF15" i="18"/>
  <c r="R21" i="18"/>
  <c r="L21" i="18"/>
  <c r="X21" i="18"/>
  <c r="X37" i="18"/>
  <c r="AD45" i="18"/>
  <c r="L45" i="18"/>
  <c r="X45" i="18"/>
  <c r="AD37" i="18"/>
  <c r="AD21" i="18"/>
  <c r="L13" i="18"/>
  <c r="R29" i="18"/>
  <c r="R37" i="18"/>
  <c r="X13" i="18"/>
  <c r="AD13" i="18"/>
  <c r="X29" i="18"/>
  <c r="AJ13" i="18"/>
  <c r="L37" i="18"/>
  <c r="R13" i="18"/>
  <c r="L29" i="18"/>
  <c r="AJ37" i="18"/>
  <c r="AD29" i="18"/>
  <c r="R45" i="18"/>
  <c r="AJ45" i="18"/>
  <c r="AF21" i="18"/>
  <c r="AF37" i="18"/>
  <c r="AF45" i="18"/>
  <c r="T13" i="18"/>
  <c r="AF13" i="18"/>
  <c r="Z13" i="18"/>
  <c r="Z21" i="18"/>
  <c r="Z29" i="18"/>
  <c r="AL45" i="18"/>
  <c r="T45" i="18"/>
  <c r="AO19" i="1"/>
  <c r="AN19" i="1" s="1"/>
  <c r="Z45" i="18"/>
  <c r="T37" i="18"/>
  <c r="T21" i="18"/>
  <c r="AL13" i="18"/>
  <c r="Z37" i="18"/>
  <c r="AL37" i="18"/>
  <c r="AL29" i="18"/>
  <c r="T29" i="18"/>
  <c r="Y23" i="1"/>
  <c r="X23" i="1"/>
  <c r="AO23" i="1" s="1"/>
  <c r="AN23" i="1" s="1"/>
  <c r="AJ33" i="19" s="1"/>
  <c r="R47" i="18"/>
  <c r="AD15" i="18"/>
  <c r="AJ39" i="18"/>
  <c r="R39" i="18"/>
  <c r="X31" i="18"/>
  <c r="R23" i="18"/>
  <c r="AD31" i="18"/>
  <c r="L31" i="18"/>
  <c r="AJ23" i="18"/>
  <c r="AD47" i="18"/>
  <c r="X39" i="18"/>
  <c r="L15" i="18"/>
  <c r="X23" i="18"/>
  <c r="R15" i="18"/>
  <c r="L47" i="18"/>
  <c r="R31" i="18"/>
  <c r="X47" i="18"/>
  <c r="L39" i="18"/>
  <c r="L23" i="18"/>
  <c r="AJ47" i="18"/>
  <c r="X15" i="18"/>
  <c r="AD23" i="18"/>
  <c r="AD39" i="18"/>
  <c r="AJ31" i="18"/>
  <c r="Y15" i="1"/>
  <c r="AD11" i="18"/>
  <c r="AJ43" i="18"/>
  <c r="X15" i="1"/>
  <c r="AJ11" i="18"/>
  <c r="X11" i="18"/>
  <c r="X35" i="18"/>
  <c r="X27" i="18"/>
  <c r="X19" i="18"/>
  <c r="AJ35" i="18"/>
  <c r="R19" i="18"/>
  <c r="L11" i="18"/>
  <c r="AD43" i="18"/>
  <c r="R11" i="18"/>
  <c r="AD19" i="18"/>
  <c r="L19" i="18"/>
  <c r="AJ27" i="18"/>
  <c r="R35" i="18"/>
  <c r="AD35" i="18"/>
  <c r="R27" i="18"/>
  <c r="R43" i="18"/>
  <c r="L35" i="18"/>
  <c r="AD27" i="18"/>
  <c r="L27" i="18"/>
  <c r="L43" i="18"/>
  <c r="X43" i="18"/>
  <c r="V37" i="18" l="1"/>
  <c r="AH29" i="18"/>
  <c r="AH37" i="18"/>
  <c r="AH21" i="18"/>
  <c r="AB21" i="18"/>
  <c r="V21" i="18"/>
  <c r="AB29" i="18"/>
  <c r="AP21" i="1"/>
  <c r="AI33" i="19"/>
  <c r="AB13" i="18"/>
  <c r="X20" i="1"/>
  <c r="AO20" i="1" s="1"/>
  <c r="AN20" i="1" s="1"/>
  <c r="AB22" i="19" s="1"/>
  <c r="Y20" i="1"/>
  <c r="V13" i="18"/>
  <c r="V29" i="18"/>
  <c r="AB45" i="18"/>
  <c r="V45" i="18"/>
  <c r="AP24" i="1"/>
  <c r="L53" i="19"/>
  <c r="AD53" i="19"/>
  <c r="L33" i="19"/>
  <c r="X33" i="19"/>
  <c r="AJ53" i="19"/>
  <c r="X53" i="19"/>
  <c r="X23" i="19"/>
  <c r="AJ23" i="19"/>
  <c r="AD33" i="19"/>
  <c r="X43" i="19"/>
  <c r="L13" i="19"/>
  <c r="AJ13" i="19"/>
  <c r="L23" i="19"/>
  <c r="AD23" i="19"/>
  <c r="R13" i="19"/>
  <c r="X13" i="19"/>
  <c r="AD43" i="19"/>
  <c r="AD13" i="19"/>
  <c r="L43" i="19"/>
  <c r="R43" i="19"/>
  <c r="R33" i="19"/>
  <c r="R53" i="19"/>
  <c r="R23" i="19"/>
  <c r="AJ43" i="19"/>
  <c r="AH45" i="18"/>
  <c r="AP19" i="1"/>
  <c r="AG42" i="19"/>
  <c r="U22" i="19"/>
  <c r="O22" i="19"/>
  <c r="AA52" i="19"/>
  <c r="O52" i="19"/>
  <c r="O42" i="19"/>
  <c r="AM52" i="19"/>
  <c r="O12" i="19"/>
  <c r="AA32" i="19"/>
  <c r="U42" i="19"/>
  <c r="AA22" i="19"/>
  <c r="AA42" i="19"/>
  <c r="U52" i="19"/>
  <c r="AG32" i="19"/>
  <c r="AG22" i="19"/>
  <c r="AG52" i="19"/>
  <c r="AG12" i="19"/>
  <c r="AM32" i="19"/>
  <c r="AM22" i="19"/>
  <c r="U12" i="19"/>
  <c r="O32" i="19"/>
  <c r="AM42" i="19"/>
  <c r="AM12" i="19"/>
  <c r="AA12" i="19"/>
  <c r="U32" i="19"/>
  <c r="AP23" i="1"/>
  <c r="AC13" i="19"/>
  <c r="Q13" i="19"/>
  <c r="AI43" i="19"/>
  <c r="AI53" i="19"/>
  <c r="K33" i="19"/>
  <c r="AC33" i="19"/>
  <c r="AC53" i="19"/>
  <c r="AC23" i="19"/>
  <c r="Q23" i="19"/>
  <c r="W43" i="19"/>
  <c r="K43" i="19"/>
  <c r="K53" i="19"/>
  <c r="AC43" i="19"/>
  <c r="W33" i="19"/>
  <c r="Q53" i="19"/>
  <c r="W23" i="19"/>
  <c r="K23" i="19"/>
  <c r="AI23" i="19"/>
  <c r="W53" i="19"/>
  <c r="AI13" i="19"/>
  <c r="W13" i="19"/>
  <c r="Q43" i="19"/>
  <c r="Q33" i="19"/>
  <c r="K13" i="19"/>
  <c r="AO15" i="1"/>
  <c r="AN15" i="1" s="1"/>
  <c r="AI32" i="19" s="1"/>
  <c r="AO18" i="1"/>
  <c r="AN18" i="1" s="1"/>
  <c r="N32" i="19" s="1"/>
  <c r="AO17" i="1"/>
  <c r="AN17" i="1" s="1"/>
  <c r="AO16" i="1"/>
  <c r="AN16" i="1" s="1"/>
  <c r="T52" i="19"/>
  <c r="AF52" i="19"/>
  <c r="AF22" i="19"/>
  <c r="AL12" i="19"/>
  <c r="AL42" i="19"/>
  <c r="T42" i="19"/>
  <c r="Z22" i="19"/>
  <c r="AL22" i="19"/>
  <c r="N12" i="19"/>
  <c r="T22" i="19"/>
  <c r="AF12" i="19"/>
  <c r="N52" i="19"/>
  <c r="AF32" i="19"/>
  <c r="P32" i="19" l="1"/>
  <c r="AH42" i="19"/>
  <c r="AN42" i="19"/>
  <c r="AP20" i="1"/>
  <c r="AB52" i="19"/>
  <c r="V32" i="19"/>
  <c r="P42" i="19"/>
  <c r="AH32" i="19"/>
  <c r="V22" i="19"/>
  <c r="P52" i="19"/>
  <c r="AN22" i="19"/>
  <c r="V12" i="19"/>
  <c r="AN12" i="19"/>
  <c r="AH52" i="19"/>
  <c r="AB32" i="19"/>
  <c r="AB42" i="19"/>
  <c r="V42" i="19"/>
  <c r="AB12" i="19"/>
  <c r="V52" i="19"/>
  <c r="AH12" i="19"/>
  <c r="AH22" i="19"/>
  <c r="AN32" i="19"/>
  <c r="P22" i="19"/>
  <c r="P12" i="19"/>
  <c r="AN52" i="19"/>
  <c r="Z12" i="19"/>
  <c r="T12" i="19"/>
  <c r="Z32" i="19"/>
  <c r="T32" i="19"/>
  <c r="N22" i="19"/>
  <c r="AC32" i="19"/>
  <c r="Q52" i="19"/>
  <c r="AI42" i="19"/>
  <c r="K52" i="19"/>
  <c r="K12" i="19"/>
  <c r="AC52" i="19"/>
  <c r="Q22" i="19"/>
  <c r="AI22" i="19"/>
  <c r="W32" i="19"/>
  <c r="K42" i="19"/>
  <c r="AP15" i="1"/>
  <c r="AC22" i="19"/>
  <c r="Q42" i="19"/>
  <c r="W22" i="19"/>
  <c r="AI12" i="19"/>
  <c r="K22" i="19"/>
  <c r="W12" i="19"/>
  <c r="W42" i="19"/>
  <c r="K32" i="19"/>
  <c r="Q32" i="19"/>
  <c r="AC42" i="19"/>
  <c r="AI52" i="19"/>
  <c r="AC12" i="19"/>
  <c r="W52" i="19"/>
  <c r="Q12" i="19"/>
  <c r="N42" i="19"/>
  <c r="M42" i="19"/>
  <c r="AP18" i="1"/>
  <c r="AP16" i="1"/>
  <c r="L52" i="19"/>
  <c r="AD32" i="19"/>
  <c r="X12" i="19"/>
  <c r="L12" i="19"/>
  <c r="X22" i="19"/>
  <c r="L22" i="19"/>
  <c r="AD42" i="19"/>
  <c r="AJ32" i="19"/>
  <c r="L32" i="19"/>
  <c r="R22" i="19"/>
  <c r="R32" i="19"/>
  <c r="R12" i="19"/>
  <c r="X32" i="19"/>
  <c r="AJ22" i="19"/>
  <c r="AD22" i="19"/>
  <c r="AJ12" i="19"/>
  <c r="AD52" i="19"/>
  <c r="R42" i="19"/>
  <c r="AJ52" i="19"/>
  <c r="R52" i="19"/>
  <c r="X52" i="19"/>
  <c r="X42" i="19"/>
  <c r="AD12" i="19"/>
  <c r="AF42" i="19"/>
  <c r="S32" i="19"/>
  <c r="AE32" i="19"/>
  <c r="AK42" i="19"/>
  <c r="M22" i="19"/>
  <c r="AE52" i="19"/>
  <c r="AP17" i="1"/>
  <c r="M32" i="19"/>
  <c r="AK22" i="19"/>
  <c r="AE22" i="19"/>
  <c r="M52" i="19"/>
  <c r="S42" i="19"/>
  <c r="S12" i="19"/>
  <c r="AE12" i="19"/>
  <c r="AE42" i="19"/>
  <c r="AK32" i="19"/>
  <c r="S52" i="19"/>
  <c r="AK12" i="19"/>
  <c r="S22" i="19"/>
  <c r="M12" i="19"/>
  <c r="L42" i="19"/>
  <c r="Z42" i="19"/>
  <c r="AL32" i="19"/>
  <c r="Z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N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<sst xmlns="http://schemas.openxmlformats.org/spreadsheetml/2006/main" count="813" uniqueCount="466">
  <si>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</si>
  <si>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</si>
  <si>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</si>
  <si>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</si>
  <si>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</si>
  <si>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</si>
  <si>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</si>
  <si>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</si>
  <si>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</si>
  <si>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</si>
  <si>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</si>
  <si>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</si>
  <si>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</si>
  <si>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</si>
  <si>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</si>
  <si>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</si>
  <si>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</si>
  <si>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</si>
  <si>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</si>
  <si>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</si>
  <si>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</si>
  <si>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</si>
  <si>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</si>
  <si>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</si>
  <si>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</si>
  <si>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</si>
  <si>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</si>
  <si>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</si>
  <si>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</si>
  <si>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</si>
  <si>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</si>
  <si>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</si>
  <si>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</si>
  <si>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</si>
  <si>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</si>
  <si>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</si>
  <si>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</si>
  <si>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</si>
  <si>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</si>
  <si>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</si>
  <si>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</si>
  <si>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</si>
  <si>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</si>
  <si>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</si>
  <si>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</si>
  <si>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</si>
  <si>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</si>
  <si>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</si>
  <si>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</si>
  <si>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</si>
  <si>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</si>
  <si>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</si>
  <si>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</si>
  <si>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</si>
  <si>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</si>
  <si>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</si>
  <si>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</si>
  <si>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</si>
  <si>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</si>
  <si>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</si>
  <si>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</si>
  <si>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</si>
  <si>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</si>
  <si>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</si>
  <si>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</si>
  <si>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</si>
  <si>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</si>
  <si>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</si>
  <si>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</si>
  <si>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</si>
  <si>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</si>
  <si>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</si>
  <si>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</si>
  <si>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</si>
  <si>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</si>
  <si>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</si>
  <si>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</si>
  <si>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</si>
  <si>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</si>
  <si>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</si>
  <si>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</si>
  <si>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</si>
  <si>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</si>
  <si>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</si>
  <si>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</si>
  <si>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</si>
  <si>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</si>
  <si>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</si>
  <si>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</si>
  <si>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</si>
  <si>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</si>
  <si>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</si>
  <si>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</si>
  <si>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</si>
  <si>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</si>
  <si>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</si>
  <si>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</si>
  <si>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</si>
  <si>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</si>
  <si>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</si>
  <si>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</si>
  <si>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</si>
  <si>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</si>
  <si>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</si>
  <si>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</si>
  <si>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</si>
  <si>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</si>
  <si>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</si>
  <si>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</si>
  <si>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</si>
  <si>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</si>
  <si>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</si>
  <si>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</si>
  <si>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</si>
  <si>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</si>
  <si>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</si>
  <si>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</si>
  <si>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</si>
  <si>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</si>
  <si>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</si>
  <si>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</si>
  <si>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</si>
  <si>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</si>
  <si>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</si>
  <si>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</si>
  <si>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</si>
  <si>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</si>
  <si>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</si>
  <si>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</si>
  <si>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</si>
  <si>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</si>
  <si>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</si>
  <si>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</si>
  <si>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</si>
  <si>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</si>
  <si>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</si>
  <si>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</si>
  <si>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</si>
  <si>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</si>
  <si>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</si>
  <si>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</si>
  <si>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</si>
  <si>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</si>
  <si>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</si>
  <si>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</si>
  <si>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</si>
  <si>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</si>
  <si>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</si>
  <si>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</si>
  <si>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</si>
  <si>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</si>
  <si>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</si>
  <si>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</si>
  <si>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</si>
  <si>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</si>
  <si>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</si>
  <si>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</si>
  <si>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</si>
  <si>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</si>
  <si>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</si>
  <si>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</si>
  <si>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</si>
  <si>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</si>
  <si>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</si>
  <si>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</si>
  <si>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</si>
  <si>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</si>
  <si>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</si>
  <si>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</si>
  <si>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</si>
  <si>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</si>
  <si>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</si>
  <si>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</si>
  <si>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</si>
  <si>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</si>
  <si>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</si>
  <si>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</si>
  <si>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</si>
  <si>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</si>
  <si>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</si>
  <si>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</si>
  <si>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</si>
  <si>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</si>
  <si>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</si>
  <si>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</si>
  <si>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</si>
  <si>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</si>
  <si>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</si>
  <si>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</si>
  <si>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</si>
  <si>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</si>
  <si>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</si>
  <si>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</si>
  <si>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</si>
  <si>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</si>
  <si>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</si>
  <si>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</si>
  <si>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</si>
  <si>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</si>
  <si>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</si>
  <si>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</si>
  <si>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</si>
  <si>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</si>
  <si>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</si>
  <si>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</si>
  <si>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</si>
  <si>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</si>
  <si>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</si>
  <si>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</si>
  <si>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</si>
  <si>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</si>
  <si>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</si>
  <si>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</si>
  <si>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</si>
  <si>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</si>
  <si>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</si>
  <si>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</si>
  <si>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</si>
  <si>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</si>
  <si>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</si>
  <si>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</si>
  <si>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</si>
  <si>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</si>
  <si>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</si>
  <si>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</si>
  <si>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</si>
  <si>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</si>
  <si>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</si>
  <si>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</si>
  <si>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</si>
  <si>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</si>
  <si>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</si>
  <si>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</si>
  <si>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</si>
  <si>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</si>
  <si>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</si>
  <si>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</si>
  <si>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</si>
  <si>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</si>
  <si>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</si>
  <si>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</si>
  <si>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</si>
  <si>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</si>
  <si>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</si>
  <si>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</si>
  <si>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</si>
  <si>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</si>
  <si>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</si>
  <si>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</si>
  <si>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</si>
  <si>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</si>
  <si>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</si>
  <si>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</si>
  <si>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</si>
  <si>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</si>
  <si>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</si>
  <si>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</si>
  <si>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</si>
  <si>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</si>
  <si>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</si>
  <si>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</si>
  <si>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</si>
  <si>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</si>
  <si>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</si>
  <si>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</si>
  <si>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</si>
  <si>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</si>
  <si>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</si>
  <si>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</si>
  <si>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</si>
  <si>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</si>
  <si>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</si>
  <si>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</si>
  <si>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</si>
  <si>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</si>
  <si>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</si>
  <si>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</si>
  <si>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</si>
  <si>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</si>
  <si>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</si>
  <si>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</si>
  <si>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</si>
  <si>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</si>
  <si>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</si>
  <si>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</si>
  <si>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</si>
  <si>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</si>
  <si>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</si>
  <si>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</si>
  <si>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</si>
  <si>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</si>
  <si>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</si>
  <si>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</si>
  <si>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</si>
  <si>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</si>
  <si>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</si>
  <si>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</si>
  <si>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</si>
  <si>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</si>
  <si>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</si>
  <si>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</si>
  <si>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</si>
  <si>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</si>
  <si>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</si>
  <si>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</si>
  <si>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</si>
  <si>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</si>
  <si>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</si>
  <si>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</si>
  <si>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</si>
  <si>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</si>
  <si>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</si>
  <si>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</si>
  <si>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</si>
  <si>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</si>
  <si>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</si>
  <si>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</si>
  <si>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</si>
  <si>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</si>
  <si>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</si>
  <si>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</si>
  <si>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</si>
  <si>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</si>
  <si>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</si>
  <si>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</si>
  <si>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</si>
  <si>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</si>
  <si>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</si>
  <si>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</si>
  <si>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</si>
  <si>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</si>
  <si>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</si>
  <si>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</si>
  <si>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</si>
  <si>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</si>
  <si>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</si>
  <si>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</si>
  <si>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</si>
  <si>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</si>
  <si>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</si>
  <si>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</si>
  <si>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</si>
  <si>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</si>
  <si>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</si>
  <si>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</si>
  <si>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</si>
  <si>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</si>
  <si>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</si>
  <si>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</si>
  <si>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</si>
  <si>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</si>
  <si>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</si>
  <si>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</si>
  <si>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</si>
  <si>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</si>
  <si>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</si>
  <si>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</si>
  <si>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</si>
  <si>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</si>
  <si>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</si>
  <si>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</si>
  <si>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</si>
  <si>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</si>
  <si>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</si>
  <si>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</si>
  <si>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</si>
  <si>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</si>
  <si>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</si>
  <si>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</si>
  <si>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</si>
  <si>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</si>
  <si>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</si>
  <si>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</si>
  <si>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</si>
  <si>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</si>
  <si>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</si>
  <si>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</si>
  <si>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</si>
  <si>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</si>
  <si>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</si>
  <si>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</si>
  <si>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</si>
  <si>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</si>
  <si>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</si>
  <si>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</si>
  <si>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</si>
  <si>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</si>
  <si>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</si>
  <si>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</si>
  <si>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</si>
  <si>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</si>
  <si>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</si>
  <si>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</si>
  <si>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</si>
  <si>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</si>
  <si>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</si>
  <si>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</si>
  <si>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CAUSA (VULNERABILIDADES)</t>
  </si>
  <si>
    <t>Amenazas</t>
  </si>
  <si>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Falta de presupuesto para la renovación de la infraestructura tecnológica, lo que genera contar con infraestructura obsoleta e incompatibilidad con nuevas tecnologías.</t>
    </r>
  </si>
  <si>
    <r>
      <rPr>
        <b/>
        <sz val="11"/>
        <color theme="1"/>
        <rFont val="Arial"/>
        <family val="2"/>
      </rPr>
      <t>D5 -</t>
    </r>
    <r>
      <rPr>
        <sz val="11"/>
        <color theme="1"/>
        <rFont val="Arial"/>
        <family val="2"/>
      </rPr>
      <t xml:space="preserve"> Falta de conocimientos del personal de Gestión de Informática y Comunicaciones que aporta a la implementación de controles técnicos de Seguridad de la Información.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t>
    </r>
  </si>
  <si>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</si>
  <si>
    <r>
      <rPr>
        <b/>
        <sz val="11"/>
        <color theme="1"/>
        <rFont val="Arial"/>
        <family val="2"/>
      </rPr>
      <t>A4 -</t>
    </r>
    <r>
      <rPr>
        <sz val="11"/>
        <color theme="1"/>
        <rFont val="Arial"/>
        <family val="2"/>
      </rPr>
      <t xml:space="preserve"> Incremento en la fabricación y diseminación de virus en el internet.
</t>
    </r>
    <r>
      <rPr>
        <b/>
        <sz val="11"/>
        <color theme="1"/>
        <rFont val="Arial"/>
        <family val="2"/>
      </rPr>
      <t>A3 -</t>
    </r>
    <r>
      <rPr>
        <sz val="11"/>
        <color theme="1"/>
        <rFont val="Arial"/>
        <family val="2"/>
      </rPr>
      <t xml:space="preserve"> Incremento en la presencia de ataques de ramsonware de alto perfil en Colombia.</t>
    </r>
  </si>
  <si>
    <t xml:space="preserve">Ataques  o denegación de servicios - sabotaje 
</t>
  </si>
  <si>
    <t>Posibilidad de afectación económica y pérdida reputacional por indisponibilidad de la infraestructura que soporta los servicios y activos de información de TI de la ETITC, debido a ataques cibernéticos o denegación de servicios - sabotaje</t>
  </si>
  <si>
    <t>A.5.8 Seguridad de la Información en la Gestión de Proyectos
Plan Anual de Adquisiciones</t>
  </si>
  <si>
    <t xml:space="preserve">
A.6.3 Conciencia de seguridad de la información, educación y formación.
Plan de Sensibilización y Entrenamiento
</t>
  </si>
  <si>
    <t xml:space="preserve">
A.5.15 Acceso a redes y a servicios en red.
A.7.13 Mantenimiento de equipos.
A.8.21 Seguridad de los servicios de red.
Soporte de Auditorias Técnicas a los proveedores </t>
  </si>
  <si>
    <t xml:space="preserve">
A.8.8 Gestión de las Vulnerabilidades Ténicas
A.8.21 Seguridad de los servicios de red.
A.6.8 Informes de eventos de seguridad de la información
A.8.12 Prevención de fuga de datos
GSI-FO-06 Reporte de eventos e incidentes de seguridad de la información </t>
  </si>
  <si>
    <t xml:space="preserve">Por identificar </t>
  </si>
  <si>
    <t xml:space="preserve">Plan de Contingencia </t>
  </si>
  <si>
    <t xml:space="preserve">Seguridad de la Infromacion </t>
  </si>
  <si>
    <t>Desastre natural y/o Desastre causado por el hombre</t>
  </si>
  <si>
    <t>Posibilidad de afectación económica y pérdida  reputacional por indisponibilidad de los procesos críticos de la ETITC, debido a interrupciones del servicio por cortes de electricidad, fallos de hardware, daños  de los sistemas de climatización del datacenter y daño y/o descarga de las baterías del equipo UPS, daños provocados por mal funcionamiento de los equipos tecnológicos, ataques cibernéticos, desastres naturales, hurto de infraestructura y actos de vandalismo contra las redes de telecomunicaciones.</t>
  </si>
  <si>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 xml:space="preserve">D13 - </t>
    </r>
    <r>
      <rPr>
        <sz val="11"/>
        <color theme="1"/>
        <rFont val="Arial"/>
        <family val="2"/>
      </rPr>
      <t xml:space="preserve">Notificación inoportuna de novedades de usuario de servidores públicos y contratistas (Retiro, vacaciones, muerte, licencias, terminación de contrato, cesión de contrato, rotación de dependencias) al área de Informática y Comunicaciones.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 xml:space="preserve">D15 - </t>
    </r>
    <r>
      <rPr>
        <sz val="11"/>
        <color theme="1"/>
        <rFont val="Arial"/>
        <family val="2"/>
      </rPr>
      <t xml:space="preserve">Manejo inadecuado de contraseñas.
</t>
    </r>
    <r>
      <rPr>
        <b/>
        <sz val="11"/>
        <color theme="1"/>
        <rFont val="Arial"/>
        <family val="2"/>
      </rPr>
      <t>A8 -</t>
    </r>
    <r>
      <rPr>
        <sz val="11"/>
        <color theme="1"/>
        <rFont val="Arial"/>
        <family val="2"/>
      </rPr>
      <t xml:space="preserve"> Ataques informáticos a infraestructura tecnológica debido a puertos de comunicación TCP/UDP no autorizados en estado abierto (sin filtrar)
</t>
    </r>
    <r>
      <rPr>
        <b/>
        <sz val="11"/>
        <color theme="1"/>
        <rFont val="Arial"/>
        <family val="2"/>
      </rPr>
      <t xml:space="preserve">D6 - </t>
    </r>
    <r>
      <rPr>
        <sz val="11"/>
        <color theme="1"/>
        <rFont val="Arial"/>
        <family val="2"/>
      </rPr>
      <t>Existencia de infraestructura tecnológica sin apoyo y/o custodia del proceso de informática y comunicaciones</t>
    </r>
  </si>
  <si>
    <t>Aumento de los niveles del crimen organizado a través de internet.</t>
  </si>
  <si>
    <t>Posibilidad de afectación económica y pérdida  reputacional por acceso indebido o mal intencionado a  los sistemas de información de los procesos y áreas seguras de la ETITC, generando pérdida o alteración de información, debido al aumento de los niveles del crimen organizado a través de accesos físicos y lógicos.</t>
  </si>
  <si>
    <r>
      <rPr>
        <b/>
        <sz val="11"/>
        <color theme="1"/>
        <rFont val="Arial"/>
        <family val="2"/>
      </rPr>
      <t>D3 -</t>
    </r>
    <r>
      <rPr>
        <sz val="11"/>
        <color theme="1"/>
        <rFont val="Arial"/>
        <family val="2"/>
      </rPr>
      <t xml:space="preserve"> Falta de software especializado que permitan hacer seguimiento de análisis de vulnerabilidades, realizar pruebas de penetración, auditoría de redes y a sistemas de información.
</t>
    </r>
    <r>
      <rPr>
        <b/>
        <sz val="11"/>
        <color theme="1"/>
        <rFont val="Arial"/>
        <family val="2"/>
      </rPr>
      <t xml:space="preserve">D16 - </t>
    </r>
    <r>
      <rPr>
        <sz val="11"/>
        <color theme="1"/>
        <rFont val="Arial"/>
        <family val="2"/>
      </rPr>
      <t xml:space="preserve">Falta de presupuesto para la renovación de la infraestructura tecnológica, lo que genera contar con infraestructura obsoleta e incompatibilidad con nuevas tecnologías.
</t>
    </r>
    <r>
      <rPr>
        <b/>
        <sz val="11"/>
        <color theme="1"/>
        <rFont val="Arial"/>
        <family val="2"/>
      </rPr>
      <t xml:space="preserve">A8 - </t>
    </r>
    <r>
      <rPr>
        <sz val="11"/>
        <color theme="1"/>
        <rFont val="Arial"/>
        <family val="2"/>
      </rPr>
      <t xml:space="preserve">Ataques informáticos a infraestructura tecnológica debido a puertos de comunicación TCP/UDP no autorizados en estado abierto (sin filtrar)
</t>
    </r>
    <r>
      <rPr>
        <b/>
        <sz val="11"/>
        <color theme="1"/>
        <rFont val="Arial"/>
        <family val="2"/>
      </rPr>
      <t xml:space="preserve">D5 - </t>
    </r>
    <r>
      <rPr>
        <sz val="11"/>
        <color theme="1"/>
        <rFont val="Arial"/>
        <family val="2"/>
      </rPr>
      <t xml:space="preserve">Falta de conocimientos del personal de Gestión de Informática y Comunicaciones que aporta a la implementación de controles técnicos de Seguridad de la Información.
</t>
    </r>
    <r>
      <rPr>
        <b/>
        <sz val="11"/>
        <color theme="1"/>
        <rFont val="Arial"/>
        <family val="2"/>
      </rPr>
      <t>A7 -</t>
    </r>
    <r>
      <rPr>
        <sz val="11"/>
        <color theme="1"/>
        <rFont val="Arial"/>
        <family val="2"/>
      </rPr>
      <t xml:space="preserve"> Los proveedores de los sistemas operativos, canal de internet, no son compatibles con la infraestructura tecnológica de la Escuela.
</t>
    </r>
  </si>
  <si>
    <t xml:space="preserve">Ataques  o denegación de servicios - sabotaje </t>
  </si>
  <si>
    <t>Posibilidad de afectación económica y pérdida  reputacional por  modificación de los datos, debido a  las brechas de seguridad  en las aplicaciones, página web y URLs externas a la ETITC.</t>
  </si>
  <si>
    <r>
      <rPr>
        <b/>
        <sz val="11"/>
        <color theme="1"/>
        <rFont val="Arial"/>
        <family val="2"/>
      </rPr>
      <t>D10 -</t>
    </r>
    <r>
      <rPr>
        <sz val="11"/>
        <color theme="1"/>
        <rFont val="Arial"/>
        <family val="2"/>
      </rPr>
      <t xml:space="preserve"> Falta de lineamientos para la asignación de roles y responsabilidades para gestión de usuarios en los sistemas de información
</t>
    </r>
    <r>
      <rPr>
        <b/>
        <sz val="11"/>
        <color theme="1"/>
        <rFont val="Arial"/>
        <family val="2"/>
      </rPr>
      <t>D11 -</t>
    </r>
    <r>
      <rPr>
        <sz val="11"/>
        <color theme="1"/>
        <rFont val="Arial"/>
        <family val="2"/>
      </rPr>
      <t xml:space="preserve"> Falta de apropiación de los procesos, procedimientos y uso de los sistemas de información de la Escuela por parte de los servidores públicos y contratistas
</t>
    </r>
    <r>
      <rPr>
        <b/>
        <sz val="11"/>
        <color theme="1"/>
        <rFont val="Arial"/>
        <family val="2"/>
      </rPr>
      <t>D8 -</t>
    </r>
    <r>
      <rPr>
        <sz val="11"/>
        <color theme="1"/>
        <rFont val="Arial"/>
        <family val="2"/>
      </rPr>
      <t xml:space="preserve"> Desconocimiento por parte de los servidores públicos y contratistas en las técnicas de Ingeniería social (spam, phishing, fakemailing, entre otros.)
</t>
    </r>
    <r>
      <rPr>
        <b/>
        <sz val="11"/>
        <color theme="1"/>
        <rFont val="Arial"/>
        <family val="2"/>
      </rPr>
      <t>D15 -</t>
    </r>
    <r>
      <rPr>
        <sz val="11"/>
        <color theme="1"/>
        <rFont val="Arial"/>
        <family val="2"/>
      </rPr>
      <t xml:space="preserve"> Manejo inadecuado de contraseñas.
</t>
    </r>
  </si>
  <si>
    <t>Posibilidad de afectación económica y pérdida  reputacional por perdida de información y otros recursos institucionales de la   ETITC, debido al incumplimiento del manual de políticas de seguridad de la información.</t>
  </si>
  <si>
    <r>
      <rPr>
        <b/>
        <sz val="11"/>
        <rFont val="Arial"/>
        <family val="2"/>
      </rPr>
      <t xml:space="preserve">D5 - </t>
    </r>
    <r>
      <rPr>
        <sz val="11"/>
        <rFont val="Arial"/>
        <family val="2"/>
      </rPr>
      <t>Falta de conocimientos del personal de Gestión de Informática y Comunicaciones que aporta a la implementación de controles técnicos de Seguridad de la Información.</t>
    </r>
    <r>
      <rPr>
        <b/>
        <sz val="11"/>
        <rFont val="Arial"/>
        <family val="2"/>
      </rPr>
      <t xml:space="preserve">
D11 - </t>
    </r>
    <r>
      <rPr>
        <sz val="11"/>
        <rFont val="Arial"/>
        <family val="2"/>
      </rPr>
      <t>Falta de apropiación de los procesos, procedimientos y uso de los sistemas de información de la Escuela por parte de los servidores públicos y contratistas.</t>
    </r>
    <r>
      <rPr>
        <b/>
        <sz val="11"/>
        <rFont val="Arial"/>
        <family val="2"/>
      </rPr>
      <t xml:space="preserve">
D - </t>
    </r>
    <r>
      <rPr>
        <sz val="11"/>
        <rFont val="Arial"/>
        <family val="2"/>
      </rPr>
      <t>Falta de familiaridad normativa de ISO 27001:2022 de la comunidad educativa con los nuevos requisitos y cambios en la estructura de la norma.</t>
    </r>
    <r>
      <rPr>
        <b/>
        <sz val="11"/>
        <rFont val="Arial"/>
        <family val="2"/>
      </rPr>
      <t xml:space="preserve">
D - </t>
    </r>
    <r>
      <rPr>
        <sz val="11"/>
        <rFont val="Arial"/>
        <family val="2"/>
      </rPr>
      <t>Falta de adaptación de procesos para revisar y adaptación de gestión de cambios para cumplir con los nuevos requisitos y enfoques de la norma.</t>
    </r>
    <r>
      <rPr>
        <b/>
        <sz val="11"/>
        <rFont val="Arial"/>
        <family val="2"/>
      </rPr>
      <t xml:space="preserve">
D - </t>
    </r>
    <r>
      <rPr>
        <sz val="11"/>
        <rFont val="Arial"/>
        <family val="2"/>
      </rPr>
      <t>Falta de documentación relacionada con el sistema de gestión de seguridad de la información, ciberseguridad y protección de la privacidad para reflejar los cambios introducidos por la nueva versión.</t>
    </r>
    <r>
      <rPr>
        <b/>
        <sz val="11"/>
        <rFont val="Arial"/>
        <family val="2"/>
      </rPr>
      <t xml:space="preserve">
D- </t>
    </r>
    <r>
      <rPr>
        <sz val="11"/>
        <rFont val="Arial"/>
        <family val="2"/>
      </rPr>
      <t>Falta de coordinación con las partes interesadas para asegurar la alineación durante el proceso de transición de ISO 27001:2022</t>
    </r>
  </si>
  <si>
    <t>Falta de familiaridad normativa de ISO 27001:2022 con los nuevos requisitos y cambios de la estructura de la norma</t>
  </si>
  <si>
    <t xml:space="preserve">Posibilidad de pérdida  reputacional por la actualización de norma ISO 27001:2022 y falta de recursos adicionales en términos de tiempo, personal y capacitación para comprender y aplicar los cambios correctamente.
</t>
  </si>
  <si>
    <t xml:space="preserve">Servicios, Software, Hardware </t>
  </si>
  <si>
    <t xml:space="preserve">Servicios, Software, Documental </t>
  </si>
  <si>
    <t xml:space="preserve">Servicios, Software, Hardware, Documental </t>
  </si>
  <si>
    <t>N/A</t>
  </si>
  <si>
    <t>Más de 5000 veces por año</t>
  </si>
  <si>
    <t>A.5.29 Seguridad de la información durante una interrupción
A.8.13 Copias de seguridad de la información.
GSI-FO-09 Informe de Pruebas de Auditoría Técnica
Programa de Auditorias 
Soporte de Auditorias Técnicas a los proveedores 
Plan de Pruebas de Continuidad
A.8.34 Protección de los sistemas de información durante las pruebas de auditoría</t>
  </si>
  <si>
    <t xml:space="preserve">
A.6.3 Conciencia de seguridad de la información, educación y formación.
A.5.15 Acceso a redes y a servicios en red.
A.7.1 Perímetros de Seguridad Física
A.8.34 Protección de los sistemas de información durante las pruebas de auditoría
Seguimiento al cumplimiento del procedimiento GIC-PC-15 ASIGNACIÓN DE ACCESO A LOS SISTEMAS DE INFORMACIÓN.
</t>
  </si>
  <si>
    <t>A.5.8 Seguridad de la Información en la Gestión de Proyectos
A.7.5 Protección contra amenazas físicas y ambientales
A.8.7 Controles contra malware
A.8.21 Seguridad de los servicios de red.
A.5.24 Planificación y preparación de la Gestión de Incidentes de Seguridad de la Información.
Buenas prácticas OWASP y NIST.
Resultados de análisis de vulnerabilidades.</t>
  </si>
  <si>
    <t>​​​​​​​GSI-DO-02 SOA (documento interno privado)
GDC-FO-12 Matriz de planificación y gestión del cambio</t>
  </si>
  <si>
    <t>A.5.8 Seguridad de la Información en la Gestión de Proyectos
Plan Anual de Adquisiciones
GSI-DO-02 SOA (documento interno privado)
GDC-FO-12 Matriz de planificación y gestión del cambio
A.6.3 Conciencia, de seguridad de la información, educación y formación.
Plan Operativo  de Seguridad de la Información</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</si>
  <si>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</si>
  <si>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Ver la viabilidad de incluir en el plan anual de adquisición (PAA)  un  software especializado que permita hacer seguimiento de análisis de vulnerabilidades, realizar pruebas de penetración, auditoría de redes y a sistemas de información.
</t>
  </si>
  <si>
    <t>2. Realizar actividades de toma de conciencia, educación y formación en la seguridad de la información a los funcionarios ETITC.
3.  Sensibilizar al personal de Gestión de Informática y Comunicaciones que aporta a la implementación de los controles técnicos de Seguridad de la Información.</t>
  </si>
  <si>
    <t xml:space="preserve">
4. Realizar actividades de vulnerabilidad técnica aplicando buenas practicas OWAS y NIST y actualizar las políticas a cada unos de los sistemas de información.
</t>
  </si>
  <si>
    <t xml:space="preserve">
5. Identificar los puertos de comunicación TCP/UDP no autorizados en estado abierto y asegurar las operaciones correctas y seguras de los mismos.</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</si>
  <si>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</si>
  <si>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Actualizar  e implementar el Plan de Contingencia, Recuperación y Retorno a la normalidad.(profesional de continuidad)
2. Realizar auditorias de acuerdo con el programa anual de auditorias de inspección técnica del SGSI.
3. Generar roles y responsabilidades frente a una ante una interrupción.
4. Realizar actividades de toma de conciencia, educación y formación en la seguridad de la información - uso de los sistemas de información en la  ETITC.
5.  Generar y socializar las estrategias y/o actividades de respuesta ante una interrupción en la prestación del servicios de la ETITC.(profesional de continuidad.)
</t>
  </si>
  <si>
    <t xml:space="preserve">
1. Reestablecer el servicio en el menor tiempo posible.
2. Realizar el análisis técnico con el fin de identificar la causa raíz.
3. Documentar las acciones y lecciones aprendidas. 
4. Socialización y retroalimentación al equipo responsable con el fin de sensibilizar las causas de la materialización del riesgo.</t>
  </si>
  <si>
    <t xml:space="preserve">1.  Realizar auditorías internas para validar el mantenimiento, pruebas de efectividad  y redundancia a los equipos y/o componentes de la Infraestructura Física y Crítica de la ETITC.
2. Revisar y documentar  la asignación de roles y responsabilidades para gestión de usuarios con acceso  lógico, así como restricción de acceso a los datos mediante técnicas de ciberseguridad como la identificación, autenticación y autorización.
3. Realizar actividades de toma de conciencia, educación y formación en la seguridad de la información - Gestión de contraseñas a los funcionarios ETITC.
4. Identificar la infraestructura tecnológica sin apoyo y/o custodia del proceso de informática y comunicaciones, una vez identificada ver la viabilidad de incluirla en proceso.
5. Identificar áreas seguras con el fin de prevenir el acceso físico no autorizado, el daño y la intermitencia de la información. </t>
  </si>
  <si>
    <t>1. Actualizar reglas al FIREWALL, con las IP de procedencia sospecha y fuera de los países donde la ETITC, no tenga relaciones comerciales y/o académicas.
2. Realizar actividades de vulnerabilidad técnica o análisis, pruebas de penetración, auditoría de redes y a sistemas de información de acuerdo con las buenas prácticas de Ciberseguridad.
3. Establecer y acordar todos los requisitos de seguridad de la información dentro de los acuerdos  pertinente a cada proveedor.
4. Realizar revisiones periódicas a las políticas especificas de seguridad e la información directamente en la consola de antivirus y en especial realizar control de puertos USB.
5. Realizar auditoría técnica a las aplicaciones de Carnet Digital.
6. Aplicar buenas prácticas de OWASP y NIST.</t>
  </si>
  <si>
    <t>7. Divulgar los riesgos al utilizar WhatsAap Web en las estaciones Administrativas.
8. Realizar mesas de trabajo con las áreas que deben usar el aplicativo de WhatsAap Web para el desarrollo de las actividades, anexando acta de aceptación del riesgo al mismo.
9. Sensibilizar a las partes interesadas acerca de los lineamientos de seguridad digital para el correcto funcionamiento de WhatsAap Web.</t>
  </si>
  <si>
    <t>1. Actualizar la política de teletrabajo  en cumplimiento a los lineamientos dados bajo la CIRCULAR 06 DE 2024 - SOCIALIZACIÓN MEDIDAS DE TRABAJO REMOTO Y
SINCRÓNICO Y ADOPCION DE TELETRABAJO EN LA
ETITC.
2. Realizar actividades de toma de conciencia, educación y formación en la seguridad de la información - Gestión de contraseñas a los funcionarios ETITC.
3. Realizar seguimiento a teletrabajadores con base al GSI-FO-08 INSPECCIÓN TÉCNICA DE SEGURIDAD DE LA INFORMACIÓN.
4. Resolución 184 de 2024: 22 de marzo de 2024 - Por la cual se adopta el teletrabajo en modalidad suplementaria en el primer semestre de la vigencia 2024 en la ETITC.</t>
  </si>
  <si>
    <t xml:space="preserve">
1. Realizar gestión de cambios para la implementación de ISO 27001:2022
2. Realizar actividades para
mantener la certificación
del Sistema de Gestión
de Seguridad de la
Información NTC ISO/IEC
27001.
3. Socialización y retroalimentación a los lideres de los procesos gestión de cambios en caracterizaciones.</t>
  </si>
  <si>
    <t xml:space="preserve">1. Mantenimiento del Sistema de
Gestión de Seguridad de la
Información NTC ISO 27001.
2. Aplicar estrategias para validar el
cumplimiento de las políticas de
Seguridad y Privacidad de la
información.
3. Mantener en condiciones estables los
incidentes y riesgos de seguridad de
la información de acuerdo con
procedimiento definido.
4. Ejecutar actividades definidas en el Plan Operativo de Seguridad y Privacidad
de la Información
5.  Cronograma de actividades para la transición de ISO 27001:2022
</t>
  </si>
  <si>
    <t xml:space="preserve"> Líder de Seguridad de la Información</t>
  </si>
  <si>
    <t>SISTEMA DE GESTION DE SEGURIDAD DE LA INFORMACION</t>
  </si>
  <si>
    <t>Planear, implementar, evaluar y mejorar continuamente el Sistema de Gestión de Seguridad de la Información (SGSI) y el Modelo de Seguridad y Privacidad de la Información (MSPI), de Gobierno en Línea (GEL), garantizando con esto, la preservación de la
confidencialidad, integridad y disponibilidad de los activos de información de la Escuela Tecnológica Instituto Técnico Central (ETITC), mediante actividades de análisis y valoración de riesgos.</t>
  </si>
  <si>
    <t>Aplica para todos los procesos misionales, estratégicos, de apoyo y evaluación, definidos y aprobados por el Sistema de Gestión de Calidad (SGC) de la ETITC.</t>
  </si>
  <si>
    <t>SANDRA J. GUERRERO G.</t>
  </si>
  <si>
    <t>LIDER DEL PROCESO:    Esp. SANDRA J. GUERRERO G.</t>
  </si>
  <si>
    <t>El profesional de Seguridad incluye en las actividades de planeación estrategica la implementación de nueva norma ISO 27001:2022 Seguridad de la Información, Ciberseguridad y Protección de la Privacidad con la finalidad de asegurar a la ETITC, alineación con los estándares más recientes en gestión de seguridad de la información (SGSI). Garantizando mejores prácticas y enfoques actualizados para proteger la información de la entidad y aumentar la credibilidad a nuestras partes interesadas. 
DESVIACION DEL CONTROL
Solicitar a lCONTEC, incluir entrenamiento para fortalecimiento de las competencias de auditores internos en la nueva norma ISO 27001:2022 y revisión a través de Auditoria Externa.</t>
  </si>
  <si>
    <t>1. El profesional de Seguridad de la Información debe realizar la verificación con base al registro de GSI-FO-08 INSPECCION TECNICA DE SEGURIDAD DE LA INFORMACION
2. El profesional de Seguridad de la Información debe realizar la validación de la declaración de aplicabilidad con base al registro de GSI-FO-09 Informe de Pruebas de Auditoría Técnica
DESVIACION DEL CONTROL
El profesional de continuidad del servicio debe asegurarse del correcto funcionamiento de la prestación de servicios en alta disponibilidad.</t>
  </si>
  <si>
    <t xml:space="preserve">2. El profesional de Seguridad de la Información debe realizar la verificación de accesos a URLs, permitidos en la navegación web de las estaciones administrativas,  inlcuído acceso a WhatsAap Web.
DESVIACION DEL CONTROL
Contactar a las entidades externas oficiales que dan soporte a incidentes de seguridad de la información tales
como la COLCERT, CSIRT de Gobierno, Fiscalía y DIJIN de acuerdo al procedimiento GIC-PC-13 Contacto con las autoridades. </t>
  </si>
  <si>
    <t xml:space="preserve">1. El profesional de Seguridad de la Información desde la consola SEM,  monitorea los eventos de seguridad digital y logs para evitar posibles ataques o vulnerabilidades a los sistemas de información, debido a  intrusiones cibernéticas a las aplicaciones, página web por navegación URLS externas a la ETITC.
DESVIACION DEL CONTROL
Contactar a las entidades externas oficiales que dan soporte a incidentes de seguridad de la información tales
como la COLCERT, CSIRT de Gobierno, Fiscalía y DIJIN de acuerdo al procedimiento GIC-PC-13 Contacto con las autoridades. </t>
  </si>
  <si>
    <t>1.  El profesional de Seguridad de la Información valida la desconexión de usuarios (retirados y/o depuración de correos) con el fin de controlar permisos de acceso o denegación de servicio.
DESVIACION DEL CONTROL
Asignar a la coordinadora de Mesa de Servicios, la creación de usuario y acceso a los sistemas de información y servicios tecnológicos.</t>
  </si>
  <si>
    <t xml:space="preserve">1. El profesional de  continuidad de servicio controla las medidas concretas para restablecer la disponibilidad de la información en unos plazos identificados mediante unos planes de respuesta ante emergencias que tengan en cuenta la organización y sus recursos en el marco del Plan de continuidad del servicio.
DESVIACIÓN DEL CONTROL
Activar planes de contingencia por parte del responsable 
2. El profesional de seguridad de la información realiza auditorías a la Infraestructura tecnológica Crítica, y realiza el control de cumplimiento a través de programa de auditorías 
DESVIACIÓN DEL CONTROL
El líder de informática y telecomunicaicones realiza seguimiento al plan de mantenimiento a la infraestructura tecnológica </t>
  </si>
  <si>
    <t>D14 - Ausencia y/o desactualización del Plan de Contingencia, Planes de Recuperación de Desastres (DRP), Objetivo de punto de recuperación (RPO) y de objetivo de tiempo de recuperación (RTO) y Retorno a la normalidad
D4 - Falta de mantenimiento a la Infraestructura Crítica y Física: Cableado Estructurado, Racks, Aires Acondicionados, Sistemas de Extinción de Incendios, Sistema de Alerta Sísmica, UPS y Plantas eléctricas y Sistema de Protección contra descargas Eléctricas Atmosféricas
D12 - Falta de respaldo de personas para el desarrollo de actividades críticas en los casos que se presente incapacidades, vacaciones, muerte, licencias, entre otros
D11 - Falta de apropiación de los procesos, procedimientos y uso de los sistemas de información de la Escuela por parte de los servidores públicos y contratistas.
A9 - Falta de respuesta ante una interrupción en la prestación del servicios de proveedores hacia la ETITC.</t>
  </si>
  <si>
    <t>4. El profesional de Seguridad de la Información desarrolla actividades de vulnerabilidad técnica a la infraestructura tecnológica para encontrar vulnerabilidades y fallos de seguridad, mitigarlos a la brevedad posible y evitar fugas de información y ataques informáticos.
DESVIACION DEL CONTROL
Solicitar a los proveedores de servicio, incluir entrenamiento para fortalecimiento de las competencias.</t>
  </si>
  <si>
    <t>3. El profesional del proceso de  Gestión de Informática y comunicaciones, realiza seguimiento al Plan de Mantenimiento  del DataCenter, ejecutando las actividades necesarias para mantener correctamente su disponibilidad e integridad continua de la infraestructura tecnológica.
DESVIACION DEL CONTROL
Solicitar a los proveedores de servicio, incluir entrenamiento para fortalecimiento de las competencias.</t>
  </si>
  <si>
    <t>2. El profesional de Seguridad de la Información incluye en su Plan de Sensibilización y Entrenamiento talleres y capacitaciones para fortalecer la competencia y formación de los funcionarios.
DESVIACION DEL CONTROL
Solicitar a los proveedores de servicio, incluir entrenamiento para fortalecimiento de las competencias.</t>
  </si>
  <si>
    <t>1. El profesional de Seguridad de la Información incluirá en su Plan Anual de Adquisiciones herramientas y/o renovaciones de software especializado.
DESVIACION DEL CONTROL
Recomendar a la Alta Dirección la adquisición de software especializado.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</si>
</sst>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1"/>
      <color theme="1"/>
      <name val="Arial Narrow"/>
      <family val="2"/>
    </font>
    <font>
      <sz val="11"/>
      <color theme="9"/>
      <name val="Arial"/>
      <family val="2"/>
    </font>
    <font>
      <b/>
      <sz val="11"/>
      <name val="Arial"/>
      <family val="2"/>
    </font>
    <font>
      <sz val="1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thin">
        <color indexed="64"/>
      </left>
      <right style="medium">
        <color indexed="64"/>
      </right>
      <top style="medium">
        <color indexed="64"/>
      </top>
      <bottom style="thin">
        <color indexed="64"/>
      </bottom>
      <diagonal/>
    </border>
    <border>
      <left/>
      <right/>
      <top style="thin">
        <color indexed="64"/>
      </top>
      <bottom style="dashed">
        <color theme="9" tint="-0.24994659260841701"/>
      </bottom>
      <diagonal/>
    </border>
    <border>
      <left/>
      <right style="dashed">
        <color theme="9" tint="-0.24994659260841701"/>
      </right>
      <top style="thin">
        <color indexed="64"/>
      </top>
      <bottom style="dashed">
        <color theme="9" tint="-0.24994659260841701"/>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57">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69"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79" xfId="0" applyNumberFormat="1" applyFont="1" applyBorder="1" applyAlignment="1" applyProtection="1">
      <alignment horizontal="center" vertical="center"/>
      <protection locked="0"/>
    </xf>
    <xf numFmtId="0" fontId="66" fillId="0" borderId="79" xfId="0" applyFont="1" applyBorder="1" applyAlignment="1" applyProtection="1">
      <alignment horizontal="center" vertical="center"/>
      <protection locked="0"/>
    </xf>
    <xf numFmtId="0" fontId="66" fillId="0" borderId="79" xfId="0" applyFont="1" applyBorder="1" applyAlignment="1" applyProtection="1">
      <alignment horizontal="center" vertical="center" wrapText="1"/>
      <protection locked="0"/>
    </xf>
    <xf numFmtId="0" fontId="66" fillId="0" borderId="79"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0" xfId="0" applyFont="1" applyBorder="1" applyAlignment="1">
      <alignment horizontal="center" vertical="center" wrapText="1"/>
    </xf>
    <xf numFmtId="0" fontId="67" fillId="0" borderId="90"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79" xfId="0" applyNumberFormat="1" applyFont="1" applyFill="1" applyBorder="1" applyAlignment="1">
      <alignment horizontal="center" vertical="center" wrapText="1"/>
    </xf>
    <xf numFmtId="0" fontId="71" fillId="16" borderId="79"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8" xfId="0" applyFont="1" applyBorder="1" applyAlignment="1">
      <alignment horizontal="left" vertical="center"/>
    </xf>
    <xf numFmtId="0" fontId="66" fillId="0" borderId="99"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0" xfId="0" applyBorder="1" applyAlignment="1">
      <alignment horizontal="center" vertical="center"/>
    </xf>
    <xf numFmtId="0" fontId="71" fillId="19" borderId="90"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8"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69"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7" xfId="0" applyFont="1" applyFill="1" applyBorder="1" applyAlignment="1">
      <alignment horizontal="center" vertical="center"/>
    </xf>
    <xf numFmtId="0" fontId="87" fillId="3" borderId="68" xfId="0" applyFont="1" applyFill="1" applyBorder="1" applyAlignment="1">
      <alignment horizontal="center" vertical="center"/>
    </xf>
    <xf numFmtId="0" fontId="87" fillId="3" borderId="66"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9" fontId="98" fillId="0" borderId="21" xfId="1" applyFont="1" applyBorder="1" applyAlignment="1">
      <alignment horizontal="center" vertical="center" wrapText="1"/>
    </xf>
    <xf numFmtId="0" fontId="66" fillId="0" borderId="109" xfId="0" applyFont="1" applyBorder="1" applyAlignment="1" applyProtection="1">
      <alignment horizontal="center" vertical="center" wrapText="1"/>
      <protection locked="0"/>
    </xf>
    <xf numFmtId="9" fontId="66" fillId="0" borderId="109"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14" fontId="66" fillId="0" borderId="109" xfId="0" applyNumberFormat="1" applyFont="1" applyBorder="1" applyAlignment="1" applyProtection="1">
      <alignment horizontal="center" vertical="center" wrapText="1"/>
      <protection locked="0"/>
    </xf>
    <xf numFmtId="0" fontId="66" fillId="0" borderId="109" xfId="0" applyFont="1" applyBorder="1" applyAlignment="1" applyProtection="1">
      <alignment horizontal="center" vertical="center" wrapText="1"/>
      <protection hidden="1"/>
    </xf>
    <xf numFmtId="0" fontId="66" fillId="0" borderId="109" xfId="0" applyFont="1" applyBorder="1" applyAlignment="1" applyProtection="1">
      <alignment horizontal="center" vertical="center" textRotation="90" wrapText="1"/>
      <protection locked="0"/>
    </xf>
    <xf numFmtId="0" fontId="77" fillId="0" borderId="109" xfId="0" applyFont="1" applyBorder="1" applyAlignment="1" applyProtection="1">
      <alignment horizontal="center" vertical="center" textRotation="90" wrapText="1"/>
      <protection hidden="1"/>
    </xf>
    <xf numFmtId="0" fontId="98" fillId="0" borderId="21" xfId="0" applyFont="1" applyBorder="1" applyAlignment="1" applyProtection="1">
      <alignment horizontal="left" vertical="top" wrapText="1"/>
      <protection locked="0"/>
    </xf>
    <xf numFmtId="0" fontId="63" fillId="0" borderId="7" xfId="0" applyFont="1" applyBorder="1" applyAlignment="1">
      <alignment horizontal="center" wrapText="1"/>
    </xf>
    <xf numFmtId="0" fontId="63" fillId="0" borderId="9" xfId="0" applyFont="1" applyBorder="1" applyAlignment="1">
      <alignment horizontal="center" wrapText="1"/>
    </xf>
    <xf numFmtId="0" fontId="63" fillId="0" borderId="5" xfId="0" applyFont="1" applyBorder="1" applyAlignment="1">
      <alignment horizontal="center" wrapText="1"/>
    </xf>
    <xf numFmtId="0" fontId="98" fillId="0" borderId="21" xfId="0" applyFont="1" applyBorder="1" applyAlignment="1" applyProtection="1">
      <alignment vertical="top" wrapText="1"/>
      <protection locked="0"/>
    </xf>
    <xf numFmtId="0" fontId="66" fillId="0" borderId="21" xfId="0" applyFont="1" applyBorder="1" applyAlignment="1" applyProtection="1">
      <alignment vertical="center"/>
      <protection locked="0"/>
    </xf>
    <xf numFmtId="9" fontId="66" fillId="0" borderId="21" xfId="0" applyNumberFormat="1" applyFont="1" applyBorder="1" applyAlignment="1" applyProtection="1">
      <alignment vertical="center" wrapText="1"/>
      <protection hidden="1"/>
    </xf>
    <xf numFmtId="0" fontId="63" fillId="0" borderId="0" xfId="0" applyFont="1" applyAlignment="1">
      <alignment horizontal="center" wrapText="1"/>
    </xf>
    <xf numFmtId="0" fontId="88" fillId="16" borderId="64" xfId="0" applyFont="1" applyFill="1" applyBorder="1" applyAlignment="1">
      <alignment horizontal="center" vertical="center"/>
    </xf>
    <xf numFmtId="0" fontId="66" fillId="0" borderId="65" xfId="0" applyFont="1" applyBorder="1" applyAlignment="1">
      <alignment horizontal="center" vertical="center"/>
    </xf>
    <xf numFmtId="0" fontId="97" fillId="19" borderId="67" xfId="0" applyFont="1" applyFill="1" applyBorder="1" applyAlignment="1">
      <alignment horizontal="center" vertical="center" wrapText="1"/>
    </xf>
    <xf numFmtId="0" fontId="63" fillId="0" borderId="12" xfId="0" applyFont="1" applyBorder="1" applyAlignment="1">
      <alignment horizontal="center" wrapText="1"/>
    </xf>
    <xf numFmtId="0" fontId="63" fillId="0" borderId="11" xfId="0" applyFont="1" applyBorder="1" applyAlignment="1">
      <alignment horizontal="center" wrapText="1"/>
    </xf>
    <xf numFmtId="0" fontId="62" fillId="0" borderId="0" xfId="0" applyFont="1" applyAlignment="1">
      <alignment horizontal="center" wrapText="1"/>
    </xf>
    <xf numFmtId="0" fontId="65" fillId="0" borderId="94"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0" xfId="0" applyFont="1" applyBorder="1" applyAlignment="1">
      <alignment horizontal="center" vertical="center" wrapText="1"/>
    </xf>
    <xf numFmtId="0" fontId="65" fillId="0" borderId="74" xfId="0" applyFont="1" applyBorder="1" applyAlignment="1">
      <alignment horizontal="center" vertical="center" wrapText="1"/>
    </xf>
    <xf numFmtId="0" fontId="65" fillId="0" borderId="0" xfId="0" applyFont="1" applyAlignment="1">
      <alignment horizontal="center" vertical="center" wrapText="1"/>
    </xf>
    <xf numFmtId="0" fontId="65" fillId="0" borderId="75" xfId="0" applyFont="1" applyBorder="1" applyAlignment="1">
      <alignment horizontal="center" vertical="center" wrapText="1"/>
    </xf>
    <xf numFmtId="0" fontId="65" fillId="0" borderId="96"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3" xfId="0" applyFont="1" applyBorder="1" applyAlignment="1">
      <alignment horizontal="center" vertical="center" wrapText="1"/>
    </xf>
    <xf numFmtId="0" fontId="79" fillId="0" borderId="5" xfId="0" applyFont="1" applyBorder="1" applyAlignment="1">
      <alignment horizontal="center" wrapText="1"/>
    </xf>
    <xf numFmtId="0" fontId="63" fillId="0" borderId="93" xfId="0" applyFont="1" applyBorder="1" applyAlignment="1">
      <alignment horizontal="center" wrapText="1"/>
    </xf>
    <xf numFmtId="0" fontId="63" fillId="0" borderId="7" xfId="0" applyFont="1" applyBorder="1" applyAlignment="1">
      <alignment horizontal="center" wrapText="1"/>
    </xf>
    <xf numFmtId="0" fontId="63" fillId="0" borderId="92" xfId="0" applyFont="1" applyBorder="1" applyAlignment="1">
      <alignment horizontal="center" wrapText="1"/>
    </xf>
    <xf numFmtId="0" fontId="63" fillId="0" borderId="9" xfId="0" applyFont="1" applyBorder="1" applyAlignment="1">
      <alignment horizontal="center" wrapText="1"/>
    </xf>
    <xf numFmtId="0" fontId="63" fillId="0" borderId="95" xfId="0" applyFont="1" applyBorder="1" applyAlignment="1">
      <alignment horizontal="center" wrapText="1"/>
    </xf>
    <xf numFmtId="0" fontId="55" fillId="0" borderId="81" xfId="0" applyFont="1" applyBorder="1" applyAlignment="1">
      <alignment horizontal="left" vertical="center"/>
    </xf>
    <xf numFmtId="0" fontId="55" fillId="0" borderId="6" xfId="0" applyFont="1" applyBorder="1" applyAlignment="1">
      <alignment horizontal="left" vertical="center"/>
    </xf>
    <xf numFmtId="0" fontId="55" fillId="0" borderId="82" xfId="0" applyFont="1" applyBorder="1" applyAlignment="1">
      <alignment horizontal="left" vertical="center"/>
    </xf>
    <xf numFmtId="0" fontId="55" fillId="0" borderId="8" xfId="0" applyFont="1" applyBorder="1" applyAlignment="1">
      <alignment horizontal="left" vertical="center"/>
    </xf>
    <xf numFmtId="0" fontId="55" fillId="0" borderId="84"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65" fillId="0" borderId="101"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00" xfId="0" applyFont="1" applyBorder="1" applyAlignment="1">
      <alignment horizontal="center" vertical="center" wrapText="1"/>
    </xf>
    <xf numFmtId="0" fontId="61" fillId="18" borderId="101" xfId="0" applyFont="1" applyFill="1" applyBorder="1" applyAlignment="1">
      <alignment horizontal="center" vertical="center"/>
    </xf>
    <xf numFmtId="0" fontId="61" fillId="18" borderId="97" xfId="0" applyFont="1" applyFill="1" applyBorder="1" applyAlignment="1">
      <alignment horizontal="center" vertical="center"/>
    </xf>
    <xf numFmtId="0" fontId="61" fillId="18" borderId="100"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66" fillId="0" borderId="109" xfId="0" applyFont="1" applyBorder="1" applyAlignment="1">
      <alignment horizontal="center" vertical="center" wrapText="1"/>
    </xf>
    <xf numFmtId="0" fontId="66" fillId="0" borderId="22" xfId="0" applyFont="1" applyBorder="1" applyAlignment="1">
      <alignment horizontal="center" vertical="center" wrapText="1"/>
    </xf>
    <xf numFmtId="0" fontId="97" fillId="19" borderId="67" xfId="0" applyFont="1" applyFill="1" applyBorder="1" applyAlignment="1">
      <alignment horizontal="center" vertical="center" wrapText="1"/>
    </xf>
    <xf numFmtId="0" fontId="97" fillId="19" borderId="68" xfId="0" applyFont="1" applyFill="1" applyBorder="1" applyAlignment="1">
      <alignment horizontal="center" vertical="center" wrapText="1"/>
    </xf>
    <xf numFmtId="0" fontId="0" fillId="0" borderId="111" xfId="0" applyBorder="1" applyAlignment="1">
      <alignment horizontal="left" wrapText="1"/>
    </xf>
    <xf numFmtId="0" fontId="0" fillId="0" borderId="111" xfId="0" applyBorder="1" applyAlignment="1">
      <alignment horizontal="left"/>
    </xf>
    <xf numFmtId="0" fontId="88" fillId="16" borderId="109" xfId="0" applyFont="1" applyFill="1" applyBorder="1" applyAlignment="1">
      <alignment horizontal="center" vertical="center" textRotation="90"/>
    </xf>
    <xf numFmtId="0" fontId="88" fillId="16" borderId="110"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5" xfId="0" applyFont="1" applyBorder="1" applyAlignment="1">
      <alignment horizontal="center"/>
    </xf>
    <xf numFmtId="0" fontId="87" fillId="16" borderId="67" xfId="0" applyFont="1" applyFill="1" applyBorder="1" applyAlignment="1">
      <alignment horizontal="left" vertical="center"/>
    </xf>
    <xf numFmtId="0" fontId="87" fillId="16" borderId="66" xfId="0" applyFont="1" applyFill="1" applyBorder="1" applyAlignment="1">
      <alignment horizontal="left" vertical="center"/>
    </xf>
    <xf numFmtId="0" fontId="87" fillId="16" borderId="68" xfId="0" applyFont="1" applyFill="1" applyBorder="1" applyAlignment="1">
      <alignment horizontal="left" vertical="center"/>
    </xf>
    <xf numFmtId="0" fontId="93" fillId="0" borderId="67" xfId="0" applyFont="1" applyBorder="1" applyAlignment="1">
      <alignment horizontal="left" vertical="center"/>
    </xf>
    <xf numFmtId="0" fontId="93" fillId="0" borderId="66" xfId="0" applyFont="1" applyBorder="1" applyAlignment="1">
      <alignment horizontal="left" vertical="center"/>
    </xf>
    <xf numFmtId="0" fontId="93" fillId="0" borderId="68" xfId="0" applyFont="1" applyBorder="1" applyAlignment="1">
      <alignment horizontal="left" vertical="center"/>
    </xf>
    <xf numFmtId="0" fontId="88" fillId="16" borderId="21" xfId="0" applyFont="1" applyFill="1" applyBorder="1" applyAlignment="1">
      <alignment horizontal="center" vertical="center" textRotation="90"/>
    </xf>
    <xf numFmtId="0" fontId="87" fillId="19" borderId="67" xfId="0" applyFont="1" applyFill="1" applyBorder="1" applyAlignment="1">
      <alignment horizontal="center" vertical="center"/>
    </xf>
    <xf numFmtId="0" fontId="87" fillId="19" borderId="66" xfId="0" applyFont="1" applyFill="1" applyBorder="1" applyAlignment="1">
      <alignment horizontal="center" vertical="center"/>
    </xf>
    <xf numFmtId="0" fontId="88" fillId="18" borderId="67" xfId="0" applyFont="1" applyFill="1" applyBorder="1" applyAlignment="1">
      <alignment horizontal="center" vertical="center" wrapText="1"/>
    </xf>
    <xf numFmtId="0" fontId="88" fillId="18" borderId="66" xfId="0" applyFont="1" applyFill="1" applyBorder="1" applyAlignment="1">
      <alignment horizontal="center" vertical="center" wrapText="1"/>
    </xf>
    <xf numFmtId="0" fontId="88" fillId="18"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6"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55" fillId="0" borderId="66" xfId="0" applyFont="1" applyBorder="1" applyAlignment="1">
      <alignment horizontal="left" vertical="center"/>
    </xf>
    <xf numFmtId="0" fontId="55" fillId="0" borderId="68" xfId="0" applyFont="1" applyBorder="1" applyAlignment="1">
      <alignment horizontal="left" vertical="center"/>
    </xf>
    <xf numFmtId="0" fontId="55" fillId="0" borderId="21" xfId="0" applyFont="1" applyBorder="1" applyAlignment="1">
      <alignment horizontal="left" vertical="center"/>
    </xf>
    <xf numFmtId="0" fontId="88" fillId="16" borderId="107"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8" borderId="106"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88" fillId="16" borderId="21" xfId="0" applyFont="1" applyFill="1" applyBorder="1" applyAlignment="1">
      <alignment horizontal="center" vertical="center" textRotation="90" wrapText="1"/>
    </xf>
    <xf numFmtId="0" fontId="63" fillId="0" borderId="102" xfId="0" applyFont="1" applyBorder="1" applyAlignment="1">
      <alignment horizontal="center" wrapText="1"/>
    </xf>
    <xf numFmtId="0" fontId="63" fillId="0" borderId="103" xfId="0" applyFont="1" applyBorder="1" applyAlignment="1">
      <alignment horizontal="center" wrapText="1"/>
    </xf>
    <xf numFmtId="0" fontId="63" fillId="0" borderId="91" xfId="0" applyFont="1" applyBorder="1" applyAlignment="1">
      <alignment horizontal="center" wrapText="1"/>
    </xf>
    <xf numFmtId="0" fontId="63" fillId="0" borderId="0" xfId="0" applyFont="1" applyAlignment="1">
      <alignment horizontal="center" wrapText="1"/>
    </xf>
    <xf numFmtId="0" fontId="63" fillId="0" borderId="104" xfId="0" applyFont="1" applyBorder="1" applyAlignment="1">
      <alignment horizontal="center" wrapText="1"/>
    </xf>
    <xf numFmtId="0" fontId="63" fillId="0" borderId="105" xfId="0" applyFont="1" applyBorder="1" applyAlignment="1">
      <alignment horizontal="center" wrapText="1"/>
    </xf>
    <xf numFmtId="0" fontId="92" fillId="0" borderId="108" xfId="0" applyFont="1" applyBorder="1" applyAlignment="1" applyProtection="1">
      <alignment horizontal="center" vertical="center"/>
      <protection locked="0"/>
    </xf>
    <xf numFmtId="0" fontId="92" fillId="0" borderId="112" xfId="0" applyFont="1" applyBorder="1" applyAlignment="1" applyProtection="1">
      <alignment horizontal="center" vertical="center"/>
      <protection locked="0"/>
    </xf>
    <xf numFmtId="0" fontId="92" fillId="0" borderId="21" xfId="0" applyFont="1" applyBorder="1" applyAlignment="1" applyProtection="1">
      <alignment horizontal="center" vertical="center"/>
      <protection locked="0"/>
    </xf>
    <xf numFmtId="0" fontId="92" fillId="0" borderId="26" xfId="0" applyFont="1" applyBorder="1" applyAlignment="1" applyProtection="1">
      <alignment horizontal="center" vertical="center"/>
      <protection locked="0"/>
    </xf>
    <xf numFmtId="0" fontId="92" fillId="0" borderId="28" xfId="0" applyFont="1" applyBorder="1" applyAlignment="1" applyProtection="1">
      <alignment horizontal="center" vertical="center"/>
      <protection locked="0"/>
    </xf>
    <xf numFmtId="0" fontId="92" fillId="0" borderId="29" xfId="0" applyFont="1" applyBorder="1" applyAlignment="1" applyProtection="1">
      <alignment horizontal="center" vertical="center"/>
      <protection locked="0"/>
    </xf>
    <xf numFmtId="0" fontId="88" fillId="16" borderId="109"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22" xfId="0" applyFont="1" applyFill="1" applyBorder="1" applyAlignment="1">
      <alignment horizontal="center" vertical="center"/>
    </xf>
    <xf numFmtId="0" fontId="59" fillId="0" borderId="69" xfId="0" applyFont="1" applyBorder="1" applyAlignment="1">
      <alignment horizontal="center" vertical="center" wrapText="1"/>
    </xf>
    <xf numFmtId="0" fontId="96" fillId="0" borderId="67" xfId="0" applyFont="1" applyBorder="1" applyAlignment="1">
      <alignment horizontal="left" vertical="center" wrapText="1"/>
    </xf>
    <xf numFmtId="0" fontId="96" fillId="0" borderId="66" xfId="0" applyFont="1" applyBorder="1" applyAlignment="1">
      <alignment horizontal="left" vertical="center" wrapText="1"/>
    </xf>
    <xf numFmtId="0" fontId="96" fillId="0" borderId="68" xfId="0" applyFont="1" applyBorder="1" applyAlignment="1">
      <alignment horizontal="left" vertical="center" wrapText="1"/>
    </xf>
    <xf numFmtId="0" fontId="60" fillId="0" borderId="69" xfId="0" applyFont="1" applyBorder="1" applyAlignment="1">
      <alignment horizontal="center" vertical="center" wrapText="1"/>
    </xf>
    <xf numFmtId="0" fontId="95" fillId="0" borderId="21" xfId="0" applyFont="1" applyBorder="1" applyAlignment="1">
      <alignment horizontal="left" vertical="center" wrapText="1"/>
    </xf>
    <xf numFmtId="0" fontId="0" fillId="5" borderId="0" xfId="0" applyFill="1" applyAlignment="1">
      <alignment horizontal="center"/>
    </xf>
    <xf numFmtId="0" fontId="77" fillId="20" borderId="98" xfId="0" applyFont="1" applyFill="1" applyBorder="1" applyAlignment="1">
      <alignment horizontal="center" vertical="center" wrapText="1"/>
    </xf>
    <xf numFmtId="0" fontId="77" fillId="20" borderId="108"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23" fillId="0" borderId="0" xfId="0" applyFont="1" applyAlignment="1">
      <alignment horizontal="center" vertical="center" wrapText="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5" fillId="0" borderId="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6" fillId="25" borderId="0" xfId="0" applyFont="1" applyFill="1" applyAlignment="1">
      <alignment horizontal="center" vertical="center" wrapText="1" readingOrder="1"/>
    </xf>
    <xf numFmtId="0" fontId="62" fillId="0" borderId="0" xfId="0" applyFont="1" applyAlignment="1">
      <alignment horizontal="center"/>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3" fillId="0" borderId="70" xfId="0" applyFont="1" applyBorder="1" applyAlignment="1">
      <alignment horizontal="center" wrapText="1"/>
    </xf>
    <xf numFmtId="0" fontId="67" fillId="0" borderId="73" xfId="0" applyFont="1" applyBorder="1" applyAlignment="1">
      <alignment horizontal="center" wrapText="1"/>
    </xf>
    <xf numFmtId="0" fontId="67" fillId="0" borderId="76" xfId="0" applyFont="1" applyBorder="1" applyAlignment="1">
      <alignment horizontal="center" wrapText="1"/>
    </xf>
    <xf numFmtId="0" fontId="65" fillId="0" borderId="71" xfId="0" applyFont="1" applyBorder="1" applyAlignment="1">
      <alignment horizontal="center" vertical="center" wrapText="1"/>
    </xf>
    <xf numFmtId="0" fontId="65" fillId="0" borderId="72" xfId="0" applyFont="1" applyBorder="1" applyAlignment="1">
      <alignment horizontal="center" vertical="center" wrapText="1"/>
    </xf>
    <xf numFmtId="0" fontId="65" fillId="0" borderId="77" xfId="0" applyFont="1" applyBorder="1" applyAlignment="1">
      <alignment horizontal="center" vertical="center" wrapText="1"/>
    </xf>
    <xf numFmtId="0" fontId="65" fillId="0" borderId="78" xfId="0" applyFont="1" applyBorder="1" applyAlignment="1">
      <alignment horizontal="center" vertical="center" wrapText="1"/>
    </xf>
    <xf numFmtId="0" fontId="77" fillId="17" borderId="92" xfId="0" applyFont="1" applyFill="1" applyBorder="1" applyAlignment="1">
      <alignment horizontal="center" vertical="center" textRotation="90"/>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68" fillId="0" borderId="70"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5"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6"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72" fillId="0" borderId="0" xfId="0" applyFont="1" applyAlignment="1">
      <alignment horizontal="center" vertical="center"/>
    </xf>
    <xf numFmtId="0" fontId="73" fillId="16" borderId="87" xfId="0" applyFont="1" applyFill="1" applyBorder="1" applyAlignment="1">
      <alignment horizontal="center" vertical="center" wrapText="1"/>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0"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66" fillId="0" borderId="110" xfId="0" applyFont="1" applyBorder="1" applyAlignment="1">
      <alignment horizontal="center" vertical="center" wrapText="1"/>
    </xf>
    <xf numFmtId="0" fontId="66" fillId="0" borderId="21" xfId="0" applyFont="1" applyBorder="1" applyAlignment="1" applyProtection="1">
      <alignment horizontal="left" vertical="center" wrapText="1"/>
      <protection locked="0"/>
    </xf>
    <xf numFmtId="0" fontId="66" fillId="0" borderId="109"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66" fillId="0" borderId="21" xfId="0" applyFont="1" applyBorder="1" applyAlignment="1">
      <alignment horizontal="center" vertical="center"/>
    </xf>
    <xf numFmtId="0" fontId="3" fillId="0" borderId="109" xfId="0" applyFont="1" applyBorder="1" applyAlignment="1" applyProtection="1">
      <alignment horizontal="center" vertical="center" wrapText="1"/>
      <protection hidden="1"/>
    </xf>
    <xf numFmtId="0" fontId="3" fillId="0" borderId="110"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77" fillId="0" borderId="109" xfId="0" applyFont="1" applyBorder="1" applyAlignment="1" applyProtection="1">
      <alignment horizontal="center" vertical="center" wrapText="1"/>
      <protection hidden="1"/>
    </xf>
    <xf numFmtId="0" fontId="77" fillId="0" borderId="110"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9" fontId="66" fillId="0" borderId="109"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0" fontId="66" fillId="0" borderId="109" xfId="0" applyFont="1" applyBorder="1" applyAlignment="1" applyProtection="1">
      <alignment horizontal="center" vertical="center"/>
      <protection locked="0"/>
    </xf>
    <xf numFmtId="0" fontId="66" fillId="0" borderId="110" xfId="0" applyFont="1" applyBorder="1" applyAlignment="1" applyProtection="1">
      <alignment horizontal="center" vertical="center"/>
      <protection locked="0"/>
    </xf>
    <xf numFmtId="0" fontId="66" fillId="0" borderId="22" xfId="0" applyFont="1" applyBorder="1" applyAlignment="1" applyProtection="1">
      <alignment horizontal="center" vertical="center"/>
      <protection locked="0"/>
    </xf>
    <xf numFmtId="9" fontId="66" fillId="0" borderId="109" xfId="0" applyNumberFormat="1" applyFont="1" applyBorder="1" applyAlignment="1" applyProtection="1">
      <alignment horizontal="center" vertical="center" wrapText="1"/>
      <protection locked="0"/>
    </xf>
    <xf numFmtId="9" fontId="66" fillId="0" borderId="110"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164" fontId="66" fillId="0" borderId="109" xfId="1" applyNumberFormat="1" applyFont="1" applyBorder="1" applyAlignment="1">
      <alignment horizontal="center" vertical="center" wrapText="1"/>
    </xf>
    <xf numFmtId="0" fontId="101" fillId="0" borderId="109" xfId="0" applyFont="1" applyBorder="1" applyAlignment="1">
      <alignment horizontal="center" vertical="center"/>
    </xf>
    <xf numFmtId="0" fontId="101" fillId="0" borderId="21" xfId="0" applyFont="1" applyBorder="1" applyAlignment="1" applyProtection="1">
      <alignment vertical="center" wrapText="1"/>
      <protection locked="0"/>
    </xf>
    <xf numFmtId="0" fontId="101" fillId="0" borderId="109" xfId="0" applyFont="1" applyBorder="1" applyAlignment="1" applyProtection="1">
      <alignment horizontal="center" vertical="center" wrapText="1"/>
      <protection locked="0"/>
    </xf>
    <xf numFmtId="0" fontId="66" fillId="0" borderId="109" xfId="0" applyFont="1" applyBorder="1" applyAlignment="1" applyProtection="1">
      <alignment horizontal="left" vertical="center" wrapText="1"/>
      <protection locked="0"/>
    </xf>
    <xf numFmtId="0" fontId="66" fillId="3" borderId="109" xfId="0" applyFont="1" applyFill="1" applyBorder="1" applyAlignment="1" applyProtection="1">
      <alignment horizontal="center" vertical="center" wrapText="1"/>
      <protection locked="0"/>
    </xf>
    <xf numFmtId="0" fontId="66" fillId="0" borderId="22" xfId="0" applyFont="1" applyBorder="1" applyAlignment="1" applyProtection="1">
      <alignment horizontal="left" vertical="center" wrapText="1"/>
      <protection locked="0"/>
    </xf>
    <xf numFmtId="0" fontId="66" fillId="3" borderId="22" xfId="0" applyFont="1" applyFill="1" applyBorder="1" applyAlignment="1" applyProtection="1">
      <alignment horizontal="center" vertical="center" wrapText="1"/>
      <protection locked="0"/>
    </xf>
    <xf numFmtId="0" fontId="66" fillId="3" borderId="21" xfId="0" applyFont="1" applyFill="1" applyBorder="1" applyAlignment="1" applyProtection="1">
      <alignment horizontal="center" vertical="center" wrapText="1"/>
      <protection locked="0"/>
    </xf>
    <xf numFmtId="0" fontId="101" fillId="0" borderId="21" xfId="0" applyFont="1" applyBorder="1" applyAlignment="1" applyProtection="1">
      <alignment horizontal="center" vertical="center" wrapText="1"/>
      <protection locked="0"/>
    </xf>
    <xf numFmtId="0" fontId="66" fillId="0" borderId="109" xfId="0" applyFont="1" applyBorder="1" applyAlignment="1" applyProtection="1">
      <alignment vertical="center"/>
      <protection locked="0"/>
    </xf>
    <xf numFmtId="0" fontId="72" fillId="0" borderId="109" xfId="0" applyFont="1" applyBorder="1" applyAlignment="1" applyProtection="1">
      <alignment horizontal="center" vertical="center" wrapText="1"/>
      <protection locked="0"/>
    </xf>
    <xf numFmtId="0" fontId="72" fillId="0" borderId="110" xfId="0" applyFont="1" applyBorder="1" applyAlignment="1" applyProtection="1">
      <alignment horizontal="center" vertical="center" wrapText="1"/>
      <protection locked="0"/>
    </xf>
    <xf numFmtId="0" fontId="72" fillId="0" borderId="22"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57" fillId="0" borderId="21" xfId="0" applyFont="1" applyBorder="1" applyAlignment="1">
      <alignment horizontal="center" vertical="center" wrapText="1"/>
    </xf>
    <xf numFmtId="0" fontId="57" fillId="0" borderId="21" xfId="0" applyFont="1" applyBorder="1" applyAlignment="1">
      <alignment horizontal="center" vertical="center" wrapText="1"/>
    </xf>
    <xf numFmtId="14" fontId="66" fillId="0" borderId="21" xfId="0" applyNumberFormat="1" applyFont="1" applyBorder="1" applyAlignment="1" applyProtection="1">
      <alignment horizontal="center" vertical="center" wrapText="1"/>
      <protection locked="0"/>
    </xf>
    <xf numFmtId="164" fontId="66" fillId="0" borderId="21" xfId="1" applyNumberFormat="1" applyFont="1" applyBorder="1" applyAlignment="1">
      <alignment horizontal="center" vertical="center" wrapText="1"/>
    </xf>
    <xf numFmtId="0" fontId="93" fillId="0" borderId="67" xfId="0" applyFont="1" applyBorder="1" applyAlignment="1">
      <alignment horizontal="left" vertical="center" wrapText="1"/>
    </xf>
    <xf numFmtId="0" fontId="66" fillId="0" borderId="113" xfId="0" applyFont="1" applyBorder="1" applyAlignment="1">
      <alignment horizontal="left" vertical="center" wrapText="1"/>
    </xf>
    <xf numFmtId="0" fontId="66" fillId="0" borderId="114"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5</xdr:col>
      <xdr:colOff>898524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8</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ETITC\2025\Riesgos%202025\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refreshError="1"/>
      <sheetData sheetId="18" refreshError="1"/>
      <sheetData sheetId="1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46" t="s">
        <v>267</v>
      </c>
      <c r="C2" s="247"/>
      <c r="D2" s="237" t="s">
        <v>205</v>
      </c>
      <c r="E2" s="238"/>
      <c r="F2" s="238"/>
      <c r="G2" s="238"/>
      <c r="H2" s="238"/>
      <c r="I2" s="238"/>
      <c r="J2" s="238"/>
      <c r="K2" s="238"/>
      <c r="L2" s="239"/>
      <c r="M2" s="252" t="s">
        <v>389</v>
      </c>
      <c r="N2" s="253"/>
    </row>
    <row r="3" spans="2:14" ht="29.25" customHeight="1" x14ac:dyDescent="0.25">
      <c r="B3" s="248"/>
      <c r="C3" s="249"/>
      <c r="D3" s="240"/>
      <c r="E3" s="241"/>
      <c r="F3" s="241"/>
      <c r="G3" s="241"/>
      <c r="H3" s="241"/>
      <c r="I3" s="241"/>
      <c r="J3" s="241"/>
      <c r="K3" s="241"/>
      <c r="L3" s="242"/>
      <c r="M3" s="254" t="s">
        <v>264</v>
      </c>
      <c r="N3" s="255"/>
    </row>
    <row r="4" spans="2:14" ht="29.25" customHeight="1" x14ac:dyDescent="0.25">
      <c r="B4" s="248"/>
      <c r="C4" s="249"/>
      <c r="D4" s="240"/>
      <c r="E4" s="241"/>
      <c r="F4" s="241"/>
      <c r="G4" s="241"/>
      <c r="H4" s="241"/>
      <c r="I4" s="241"/>
      <c r="J4" s="241"/>
      <c r="K4" s="241"/>
      <c r="L4" s="242"/>
      <c r="M4" s="254" t="s">
        <v>388</v>
      </c>
      <c r="N4" s="255"/>
    </row>
    <row r="5" spans="2:14" ht="29.25" customHeight="1" thickBot="1" x14ac:dyDescent="0.3">
      <c r="B5" s="250"/>
      <c r="C5" s="251"/>
      <c r="D5" s="243"/>
      <c r="E5" s="244"/>
      <c r="F5" s="244"/>
      <c r="G5" s="244"/>
      <c r="H5" s="244"/>
      <c r="I5" s="244"/>
      <c r="J5" s="244"/>
      <c r="K5" s="244"/>
      <c r="L5" s="245"/>
      <c r="M5" s="256" t="s">
        <v>245</v>
      </c>
      <c r="N5" s="257"/>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36" t="s">
        <v>309</v>
      </c>
      <c r="E31" s="236"/>
      <c r="N31" s="138"/>
    </row>
    <row r="32" spans="2:14" x14ac:dyDescent="0.25">
      <c r="B32" s="137"/>
      <c r="D32" s="236"/>
      <c r="E32" s="236"/>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17" t="s">
        <v>162</v>
      </c>
      <c r="C2" s="518"/>
      <c r="D2" s="518"/>
      <c r="E2" s="518"/>
      <c r="F2" s="518"/>
      <c r="G2" s="518"/>
      <c r="H2" s="519"/>
      <c r="J2" s="151" t="s">
        <v>274</v>
      </c>
    </row>
    <row r="3" spans="2:10" ht="20.25" x14ac:dyDescent="0.25">
      <c r="B3" s="70"/>
      <c r="C3" s="71"/>
      <c r="D3" s="71"/>
      <c r="E3" s="71"/>
      <c r="F3" s="71"/>
      <c r="G3" s="71"/>
      <c r="H3" s="72"/>
      <c r="J3" s="151"/>
    </row>
    <row r="4" spans="2:10" ht="63" customHeight="1" x14ac:dyDescent="0.25">
      <c r="B4" s="520" t="s">
        <v>305</v>
      </c>
      <c r="C4" s="521"/>
      <c r="D4" s="521"/>
      <c r="E4" s="521"/>
      <c r="F4" s="521"/>
      <c r="G4" s="521"/>
      <c r="H4" s="522"/>
    </row>
    <row r="5" spans="2:10" ht="63" customHeight="1" x14ac:dyDescent="0.25">
      <c r="B5" s="523"/>
      <c r="C5" s="524"/>
      <c r="D5" s="524"/>
      <c r="E5" s="524"/>
      <c r="F5" s="524"/>
      <c r="G5" s="524"/>
      <c r="H5" s="525"/>
    </row>
    <row r="6" spans="2:10" ht="16.5" x14ac:dyDescent="0.25">
      <c r="B6" s="526" t="s">
        <v>160</v>
      </c>
      <c r="C6" s="527"/>
      <c r="D6" s="527"/>
      <c r="E6" s="527"/>
      <c r="F6" s="527"/>
      <c r="G6" s="527"/>
      <c r="H6" s="528"/>
    </row>
    <row r="7" spans="2:10" ht="95.25" customHeight="1" x14ac:dyDescent="0.25">
      <c r="B7" s="536" t="s">
        <v>165</v>
      </c>
      <c r="C7" s="537"/>
      <c r="D7" s="537"/>
      <c r="E7" s="537"/>
      <c r="F7" s="537"/>
      <c r="G7" s="537"/>
      <c r="H7" s="538"/>
    </row>
    <row r="8" spans="2:10" ht="16.5" x14ac:dyDescent="0.25">
      <c r="B8" s="106"/>
      <c r="C8" s="107"/>
      <c r="D8" s="107"/>
      <c r="E8" s="107"/>
      <c r="F8" s="107"/>
      <c r="G8" s="107"/>
      <c r="H8" s="108"/>
    </row>
    <row r="9" spans="2:10" ht="16.5" customHeight="1" x14ac:dyDescent="0.25">
      <c r="B9" s="529" t="s">
        <v>293</v>
      </c>
      <c r="C9" s="530"/>
      <c r="D9" s="530"/>
      <c r="E9" s="530"/>
      <c r="F9" s="530"/>
      <c r="G9" s="530"/>
      <c r="H9" s="531"/>
    </row>
    <row r="10" spans="2:10" ht="44.25" customHeight="1" x14ac:dyDescent="0.25">
      <c r="B10" s="529"/>
      <c r="C10" s="530"/>
      <c r="D10" s="530"/>
      <c r="E10" s="530"/>
      <c r="F10" s="530"/>
      <c r="G10" s="530"/>
      <c r="H10" s="531"/>
    </row>
    <row r="11" spans="2:10" ht="15.75" thickBot="1" x14ac:dyDescent="0.3">
      <c r="B11" s="95"/>
      <c r="C11" s="98"/>
      <c r="D11" s="103"/>
      <c r="E11" s="104"/>
      <c r="F11" s="104"/>
      <c r="G11" s="105"/>
      <c r="H11" s="99"/>
    </row>
    <row r="12" spans="2:10" ht="15.75" thickTop="1" x14ac:dyDescent="0.25">
      <c r="B12" s="95"/>
      <c r="C12" s="532" t="s">
        <v>161</v>
      </c>
      <c r="D12" s="533"/>
      <c r="E12" s="534" t="s">
        <v>198</v>
      </c>
      <c r="F12" s="535"/>
      <c r="G12" s="98"/>
      <c r="H12" s="99"/>
    </row>
    <row r="13" spans="2:10" ht="35.25" customHeight="1" x14ac:dyDescent="0.25">
      <c r="B13" s="95"/>
      <c r="C13" s="539" t="s">
        <v>192</v>
      </c>
      <c r="D13" s="540"/>
      <c r="E13" s="541" t="s">
        <v>197</v>
      </c>
      <c r="F13" s="542"/>
      <c r="G13" s="98"/>
      <c r="H13" s="99"/>
    </row>
    <row r="14" spans="2:10" ht="17.25" customHeight="1" x14ac:dyDescent="0.25">
      <c r="B14" s="95"/>
      <c r="C14" s="539" t="s">
        <v>193</v>
      </c>
      <c r="D14" s="540"/>
      <c r="E14" s="541" t="s">
        <v>195</v>
      </c>
      <c r="F14" s="542"/>
      <c r="G14" s="98"/>
      <c r="H14" s="99"/>
    </row>
    <row r="15" spans="2:10" ht="19.5" customHeight="1" x14ac:dyDescent="0.25">
      <c r="B15" s="95"/>
      <c r="C15" s="539" t="s">
        <v>194</v>
      </c>
      <c r="D15" s="540"/>
      <c r="E15" s="541" t="s">
        <v>196</v>
      </c>
      <c r="F15" s="542"/>
      <c r="G15" s="98"/>
      <c r="H15" s="99"/>
    </row>
    <row r="16" spans="2:10" ht="69.75" customHeight="1" x14ac:dyDescent="0.25">
      <c r="B16" s="95"/>
      <c r="C16" s="539" t="s">
        <v>163</v>
      </c>
      <c r="D16" s="540"/>
      <c r="E16" s="541" t="s">
        <v>164</v>
      </c>
      <c r="F16" s="542"/>
      <c r="G16" s="98"/>
      <c r="H16" s="99"/>
    </row>
    <row r="17" spans="2:8" ht="34.5" customHeight="1" x14ac:dyDescent="0.25">
      <c r="B17" s="95"/>
      <c r="C17" s="543" t="s">
        <v>2</v>
      </c>
      <c r="D17" s="544"/>
      <c r="E17" s="545" t="s">
        <v>199</v>
      </c>
      <c r="F17" s="546"/>
      <c r="G17" s="98"/>
      <c r="H17" s="99"/>
    </row>
    <row r="18" spans="2:8" ht="27.75" customHeight="1" x14ac:dyDescent="0.25">
      <c r="B18" s="95"/>
      <c r="C18" s="543" t="s">
        <v>3</v>
      </c>
      <c r="D18" s="544"/>
      <c r="E18" s="545" t="s">
        <v>200</v>
      </c>
      <c r="F18" s="546"/>
      <c r="G18" s="98"/>
      <c r="H18" s="99"/>
    </row>
    <row r="19" spans="2:8" ht="28.5" customHeight="1" x14ac:dyDescent="0.25">
      <c r="B19" s="95"/>
      <c r="C19" s="543" t="s">
        <v>41</v>
      </c>
      <c r="D19" s="544"/>
      <c r="E19" s="545" t="s">
        <v>201</v>
      </c>
      <c r="F19" s="546"/>
      <c r="G19" s="98"/>
      <c r="H19" s="99"/>
    </row>
    <row r="20" spans="2:8" ht="72.75" customHeight="1" x14ac:dyDescent="0.25">
      <c r="B20" s="95"/>
      <c r="C20" s="543" t="s">
        <v>1</v>
      </c>
      <c r="D20" s="544"/>
      <c r="E20" s="545" t="s">
        <v>202</v>
      </c>
      <c r="F20" s="546"/>
      <c r="G20" s="98"/>
      <c r="H20" s="99"/>
    </row>
    <row r="21" spans="2:8" ht="64.5" customHeight="1" x14ac:dyDescent="0.25">
      <c r="B21" s="95"/>
      <c r="C21" s="543" t="s">
        <v>49</v>
      </c>
      <c r="D21" s="544"/>
      <c r="E21" s="545" t="s">
        <v>167</v>
      </c>
      <c r="F21" s="546"/>
      <c r="G21" s="98"/>
      <c r="H21" s="99"/>
    </row>
    <row r="22" spans="2:8" ht="71.25" customHeight="1" x14ac:dyDescent="0.25">
      <c r="B22" s="95"/>
      <c r="C22" s="543" t="s">
        <v>166</v>
      </c>
      <c r="D22" s="544"/>
      <c r="E22" s="545" t="s">
        <v>168</v>
      </c>
      <c r="F22" s="546"/>
      <c r="G22" s="98"/>
      <c r="H22" s="99"/>
    </row>
    <row r="23" spans="2:8" ht="55.5" customHeight="1" x14ac:dyDescent="0.25">
      <c r="B23" s="95"/>
      <c r="C23" s="550" t="s">
        <v>169</v>
      </c>
      <c r="D23" s="551"/>
      <c r="E23" s="545" t="s">
        <v>170</v>
      </c>
      <c r="F23" s="546"/>
      <c r="G23" s="98"/>
      <c r="H23" s="99"/>
    </row>
    <row r="24" spans="2:8" ht="42" customHeight="1" x14ac:dyDescent="0.25">
      <c r="B24" s="95"/>
      <c r="C24" s="550" t="s">
        <v>47</v>
      </c>
      <c r="D24" s="551"/>
      <c r="E24" s="545" t="s">
        <v>171</v>
      </c>
      <c r="F24" s="546"/>
      <c r="G24" s="98"/>
      <c r="H24" s="99"/>
    </row>
    <row r="25" spans="2:8" ht="59.25" customHeight="1" x14ac:dyDescent="0.25">
      <c r="B25" s="95"/>
      <c r="C25" s="550" t="s">
        <v>159</v>
      </c>
      <c r="D25" s="551"/>
      <c r="E25" s="545" t="s">
        <v>172</v>
      </c>
      <c r="F25" s="546"/>
      <c r="G25" s="98"/>
      <c r="H25" s="99"/>
    </row>
    <row r="26" spans="2:8" ht="23.25" customHeight="1" x14ac:dyDescent="0.25">
      <c r="B26" s="95"/>
      <c r="C26" s="550" t="s">
        <v>12</v>
      </c>
      <c r="D26" s="551"/>
      <c r="E26" s="545" t="s">
        <v>173</v>
      </c>
      <c r="F26" s="546"/>
      <c r="G26" s="98"/>
      <c r="H26" s="99"/>
    </row>
    <row r="27" spans="2:8" ht="30.75" customHeight="1" x14ac:dyDescent="0.25">
      <c r="B27" s="95"/>
      <c r="C27" s="550" t="s">
        <v>177</v>
      </c>
      <c r="D27" s="551"/>
      <c r="E27" s="545" t="s">
        <v>174</v>
      </c>
      <c r="F27" s="546"/>
      <c r="G27" s="98"/>
      <c r="H27" s="99"/>
    </row>
    <row r="28" spans="2:8" ht="35.25" customHeight="1" x14ac:dyDescent="0.25">
      <c r="B28" s="95"/>
      <c r="C28" s="550" t="s">
        <v>178</v>
      </c>
      <c r="D28" s="551"/>
      <c r="E28" s="545" t="s">
        <v>175</v>
      </c>
      <c r="F28" s="546"/>
      <c r="G28" s="98"/>
      <c r="H28" s="99"/>
    </row>
    <row r="29" spans="2:8" ht="33" customHeight="1" x14ac:dyDescent="0.25">
      <c r="B29" s="95"/>
      <c r="C29" s="550" t="s">
        <v>178</v>
      </c>
      <c r="D29" s="551"/>
      <c r="E29" s="545" t="s">
        <v>175</v>
      </c>
      <c r="F29" s="546"/>
      <c r="G29" s="98"/>
      <c r="H29" s="99"/>
    </row>
    <row r="30" spans="2:8" ht="30" customHeight="1" x14ac:dyDescent="0.25">
      <c r="B30" s="95"/>
      <c r="C30" s="550" t="s">
        <v>179</v>
      </c>
      <c r="D30" s="551"/>
      <c r="E30" s="545" t="s">
        <v>176</v>
      </c>
      <c r="F30" s="546"/>
      <c r="G30" s="98"/>
      <c r="H30" s="99"/>
    </row>
    <row r="31" spans="2:8" ht="35.25" customHeight="1" x14ac:dyDescent="0.25">
      <c r="B31" s="95"/>
      <c r="C31" s="550" t="s">
        <v>180</v>
      </c>
      <c r="D31" s="551"/>
      <c r="E31" s="545" t="s">
        <v>181</v>
      </c>
      <c r="F31" s="546"/>
      <c r="G31" s="98"/>
      <c r="H31" s="99"/>
    </row>
    <row r="32" spans="2:8" ht="31.5" customHeight="1" x14ac:dyDescent="0.25">
      <c r="B32" s="95"/>
      <c r="C32" s="550" t="s">
        <v>182</v>
      </c>
      <c r="D32" s="551"/>
      <c r="E32" s="545" t="s">
        <v>183</v>
      </c>
      <c r="F32" s="546"/>
      <c r="G32" s="98"/>
      <c r="H32" s="99"/>
    </row>
    <row r="33" spans="2:8" ht="35.25" customHeight="1" x14ac:dyDescent="0.25">
      <c r="B33" s="95"/>
      <c r="C33" s="550" t="s">
        <v>184</v>
      </c>
      <c r="D33" s="551"/>
      <c r="E33" s="545" t="s">
        <v>185</v>
      </c>
      <c r="F33" s="546"/>
      <c r="G33" s="98"/>
      <c r="H33" s="99"/>
    </row>
    <row r="34" spans="2:8" ht="59.25" customHeight="1" x14ac:dyDescent="0.25">
      <c r="B34" s="95"/>
      <c r="C34" s="550" t="s">
        <v>186</v>
      </c>
      <c r="D34" s="551"/>
      <c r="E34" s="545" t="s">
        <v>187</v>
      </c>
      <c r="F34" s="546"/>
      <c r="G34" s="98"/>
      <c r="H34" s="99"/>
    </row>
    <row r="35" spans="2:8" ht="29.25" customHeight="1" x14ac:dyDescent="0.25">
      <c r="B35" s="95"/>
      <c r="C35" s="550" t="s">
        <v>29</v>
      </c>
      <c r="D35" s="551"/>
      <c r="E35" s="545" t="s">
        <v>188</v>
      </c>
      <c r="F35" s="546"/>
      <c r="G35" s="98"/>
      <c r="H35" s="99"/>
    </row>
    <row r="36" spans="2:8" ht="82.5" customHeight="1" x14ac:dyDescent="0.25">
      <c r="B36" s="95"/>
      <c r="C36" s="550" t="s">
        <v>190</v>
      </c>
      <c r="D36" s="551"/>
      <c r="E36" s="545" t="s">
        <v>189</v>
      </c>
      <c r="F36" s="546"/>
      <c r="G36" s="98"/>
      <c r="H36" s="99"/>
    </row>
    <row r="37" spans="2:8" ht="46.5" customHeight="1" x14ac:dyDescent="0.25">
      <c r="B37" s="95"/>
      <c r="C37" s="550" t="s">
        <v>38</v>
      </c>
      <c r="D37" s="551"/>
      <c r="E37" s="545" t="s">
        <v>191</v>
      </c>
      <c r="F37" s="546"/>
      <c r="G37" s="98"/>
      <c r="H37" s="99"/>
    </row>
    <row r="38" spans="2:8" ht="6.75" customHeight="1" thickBot="1" x14ac:dyDescent="0.3">
      <c r="B38" s="95"/>
      <c r="C38" s="552"/>
      <c r="D38" s="553"/>
      <c r="E38" s="554"/>
      <c r="F38" s="555"/>
      <c r="G38" s="98"/>
      <c r="H38" s="99"/>
    </row>
    <row r="39" spans="2:8" ht="15.75" thickTop="1" x14ac:dyDescent="0.25">
      <c r="B39" s="95"/>
      <c r="C39" s="96"/>
      <c r="D39" s="96"/>
      <c r="E39" s="97"/>
      <c r="F39" s="97"/>
      <c r="G39" s="98"/>
      <c r="H39" s="99"/>
    </row>
    <row r="40" spans="2:8" ht="21" customHeight="1" x14ac:dyDescent="0.25">
      <c r="B40" s="547" t="s">
        <v>294</v>
      </c>
      <c r="C40" s="548"/>
      <c r="D40" s="548"/>
      <c r="E40" s="548"/>
      <c r="F40" s="548"/>
      <c r="G40" s="548"/>
      <c r="H40" s="549"/>
    </row>
    <row r="41" spans="2:8" ht="20.25" customHeight="1" x14ac:dyDescent="0.25">
      <c r="B41" s="547" t="s">
        <v>295</v>
      </c>
      <c r="C41" s="548"/>
      <c r="D41" s="548"/>
      <c r="E41" s="548"/>
      <c r="F41" s="548"/>
      <c r="G41" s="548"/>
      <c r="H41" s="549"/>
    </row>
    <row r="42" spans="2:8" ht="20.25" customHeight="1" x14ac:dyDescent="0.25">
      <c r="B42" s="547" t="s">
        <v>296</v>
      </c>
      <c r="C42" s="548"/>
      <c r="D42" s="548"/>
      <c r="E42" s="548"/>
      <c r="F42" s="548"/>
      <c r="G42" s="548"/>
      <c r="H42" s="549"/>
    </row>
    <row r="43" spans="2:8" ht="20.25" customHeight="1" x14ac:dyDescent="0.25">
      <c r="B43" s="547" t="s">
        <v>297</v>
      </c>
      <c r="C43" s="548"/>
      <c r="D43" s="548"/>
      <c r="E43" s="548"/>
      <c r="F43" s="548"/>
      <c r="G43" s="548"/>
      <c r="H43" s="549"/>
    </row>
    <row r="44" spans="2:8" ht="15" customHeight="1" x14ac:dyDescent="0.25">
      <c r="B44" s="547" t="s">
        <v>298</v>
      </c>
      <c r="C44" s="548"/>
      <c r="D44" s="548"/>
      <c r="E44" s="548"/>
      <c r="F44" s="548"/>
      <c r="G44" s="548"/>
      <c r="H44" s="549"/>
    </row>
    <row r="45" spans="2:8" ht="15.75" thickBot="1" x14ac:dyDescent="0.3">
      <c r="B45" s="100"/>
      <c r="C45" s="101"/>
      <c r="D45" s="101"/>
      <c r="E45" s="101"/>
      <c r="F45" s="101"/>
      <c r="G45" s="101"/>
      <c r="H45" s="10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6" sqref="C6"/>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556" t="s">
        <v>251</v>
      </c>
      <c r="C2" s="557" t="s">
        <v>205</v>
      </c>
      <c r="D2" s="558"/>
      <c r="E2" s="558"/>
      <c r="F2" s="558"/>
      <c r="G2" s="558"/>
      <c r="H2" s="558"/>
      <c r="I2" s="558"/>
      <c r="J2" s="264" t="s">
        <v>250</v>
      </c>
      <c r="K2" s="253"/>
    </row>
    <row r="3" spans="2:11" ht="15" customHeight="1" x14ac:dyDescent="0.25">
      <c r="B3" s="510"/>
      <c r="C3" s="559"/>
      <c r="D3" s="560"/>
      <c r="E3" s="560"/>
      <c r="F3" s="560"/>
      <c r="G3" s="560"/>
      <c r="H3" s="560"/>
      <c r="I3" s="560"/>
      <c r="J3" s="265" t="s">
        <v>264</v>
      </c>
      <c r="K3" s="255"/>
    </row>
    <row r="4" spans="2:11" ht="15" customHeight="1" x14ac:dyDescent="0.25">
      <c r="B4" s="510"/>
      <c r="C4" s="559"/>
      <c r="D4" s="560"/>
      <c r="E4" s="560"/>
      <c r="F4" s="560"/>
      <c r="G4" s="560"/>
      <c r="H4" s="560"/>
      <c r="I4" s="560"/>
      <c r="J4" s="265" t="s">
        <v>263</v>
      </c>
      <c r="K4" s="255" t="s">
        <v>263</v>
      </c>
    </row>
    <row r="5" spans="2:11" ht="15" customHeight="1" thickBot="1" x14ac:dyDescent="0.3">
      <c r="B5" s="511"/>
      <c r="C5" s="561"/>
      <c r="D5" s="562"/>
      <c r="E5" s="562"/>
      <c r="F5" s="562"/>
      <c r="G5" s="562"/>
      <c r="H5" s="562"/>
      <c r="I5" s="562"/>
      <c r="J5" s="266" t="s">
        <v>245</v>
      </c>
      <c r="K5" s="257" t="s">
        <v>245</v>
      </c>
    </row>
    <row r="6" spans="2:11" ht="15.75" thickBot="1" x14ac:dyDescent="0.3"/>
    <row r="7" spans="2:11" customFormat="1" ht="15.75" thickBot="1" x14ac:dyDescent="0.3">
      <c r="B7" s="563" t="s">
        <v>246</v>
      </c>
      <c r="C7" s="564"/>
      <c r="D7" s="565" t="s">
        <v>252</v>
      </c>
      <c r="E7" s="566"/>
      <c r="F7" s="565" t="s">
        <v>253</v>
      </c>
      <c r="G7" s="567"/>
      <c r="H7" s="567"/>
      <c r="I7" s="567"/>
      <c r="J7" s="567"/>
      <c r="K7" s="568"/>
    </row>
    <row r="8" spans="2:11" customFormat="1" ht="18" customHeight="1" thickBot="1" x14ac:dyDescent="0.3">
      <c r="B8" s="569"/>
      <c r="C8" s="570"/>
      <c r="D8" s="571">
        <v>1</v>
      </c>
      <c r="E8" s="572"/>
      <c r="F8" s="573"/>
      <c r="G8" s="573"/>
      <c r="H8" s="573"/>
      <c r="I8" s="573"/>
      <c r="J8" s="573"/>
      <c r="K8" s="574"/>
    </row>
    <row r="9" spans="2:11" customFormat="1" ht="18" customHeight="1" thickBot="1" x14ac:dyDescent="0.3">
      <c r="B9" s="569"/>
      <c r="C9" s="570"/>
      <c r="D9" s="571">
        <v>2</v>
      </c>
      <c r="E9" s="572"/>
      <c r="F9" s="573"/>
      <c r="G9" s="573"/>
      <c r="H9" s="573"/>
      <c r="I9" s="573"/>
      <c r="J9" s="573"/>
      <c r="K9" s="574"/>
    </row>
    <row r="10" spans="2:11" customFormat="1" ht="18" customHeight="1" thickBot="1" x14ac:dyDescent="0.3">
      <c r="B10" s="569"/>
      <c r="C10" s="570"/>
      <c r="D10" s="571">
        <v>3</v>
      </c>
      <c r="E10" s="572"/>
      <c r="F10" s="573"/>
      <c r="G10" s="573"/>
      <c r="H10" s="573"/>
      <c r="I10" s="573"/>
      <c r="J10" s="573"/>
      <c r="K10" s="574"/>
    </row>
    <row r="11" spans="2:11" customFormat="1" ht="18" customHeight="1" thickBot="1" x14ac:dyDescent="0.3">
      <c r="B11" s="569"/>
      <c r="C11" s="570"/>
      <c r="D11" s="571">
        <v>4</v>
      </c>
      <c r="E11" s="572"/>
      <c r="F11" s="573"/>
      <c r="G11" s="573"/>
      <c r="H11" s="573"/>
      <c r="I11" s="573"/>
      <c r="J11" s="573"/>
      <c r="K11" s="574"/>
    </row>
    <row r="12" spans="2:11" customFormat="1" ht="18" customHeight="1" thickBot="1" x14ac:dyDescent="0.3">
      <c r="B12" s="569"/>
      <c r="C12" s="570"/>
      <c r="D12" s="571">
        <v>5</v>
      </c>
      <c r="E12" s="572"/>
      <c r="F12" s="573"/>
      <c r="G12" s="573"/>
      <c r="H12" s="573"/>
      <c r="I12" s="573"/>
      <c r="J12" s="573"/>
      <c r="K12" s="574"/>
    </row>
    <row r="13" spans="2:11" customFormat="1" ht="18" customHeight="1" thickBot="1" x14ac:dyDescent="0.3">
      <c r="B13" s="569"/>
      <c r="C13" s="570"/>
      <c r="D13" s="571">
        <v>6</v>
      </c>
      <c r="E13" s="572"/>
      <c r="F13" s="573"/>
      <c r="G13" s="573"/>
      <c r="H13" s="573"/>
      <c r="I13" s="573"/>
      <c r="J13" s="573"/>
      <c r="K13" s="574"/>
    </row>
    <row r="14" spans="2:11" customFormat="1" ht="18" customHeight="1" thickBot="1" x14ac:dyDescent="0.3">
      <c r="B14" s="569"/>
      <c r="C14" s="570"/>
      <c r="D14" s="571">
        <v>7</v>
      </c>
      <c r="E14" s="572"/>
      <c r="F14" s="573"/>
      <c r="G14" s="573"/>
      <c r="H14" s="573"/>
      <c r="I14" s="573"/>
      <c r="J14" s="573"/>
      <c r="K14" s="574"/>
    </row>
    <row r="15" spans="2:11" customFormat="1" ht="18" customHeight="1" thickBot="1" x14ac:dyDescent="0.3">
      <c r="B15" s="569">
        <v>45352</v>
      </c>
      <c r="C15" s="570"/>
      <c r="D15" s="571">
        <v>8</v>
      </c>
      <c r="E15" s="572"/>
      <c r="F15" s="573" t="s">
        <v>265</v>
      </c>
      <c r="G15" s="573"/>
      <c r="H15" s="573"/>
      <c r="I15" s="573"/>
      <c r="J15" s="573"/>
      <c r="K15" s="574"/>
    </row>
    <row r="16" spans="2:11" customFormat="1" ht="15.75" customHeight="1" thickBot="1" x14ac:dyDescent="0.3">
      <c r="B16" s="575"/>
      <c r="C16" s="575"/>
      <c r="D16" s="575"/>
      <c r="E16" s="575"/>
      <c r="F16" s="575"/>
      <c r="G16" s="575"/>
      <c r="H16" s="575"/>
      <c r="I16" s="575"/>
      <c r="J16" s="575"/>
      <c r="K16" s="575"/>
    </row>
    <row r="17" spans="2:12" customFormat="1" ht="15.75" customHeight="1" thickBot="1" x14ac:dyDescent="0.3">
      <c r="B17" s="576" t="s">
        <v>254</v>
      </c>
      <c r="C17" s="577"/>
      <c r="D17" s="577"/>
      <c r="E17" s="578"/>
      <c r="F17" s="579" t="s">
        <v>255</v>
      </c>
      <c r="G17" s="580"/>
      <c r="H17" s="581"/>
      <c r="I17" s="582" t="s">
        <v>256</v>
      </c>
      <c r="J17" s="583"/>
      <c r="K17" s="578"/>
    </row>
    <row r="18" spans="2:12" customFormat="1" ht="27" customHeight="1" x14ac:dyDescent="0.25">
      <c r="B18" s="584"/>
      <c r="C18" s="585"/>
      <c r="D18" s="585"/>
      <c r="E18" s="585"/>
      <c r="F18" s="585"/>
      <c r="G18" s="585"/>
      <c r="H18" s="585"/>
      <c r="I18" s="586"/>
      <c r="J18" s="586"/>
      <c r="K18" s="587"/>
    </row>
    <row r="19" spans="2:12" customFormat="1" ht="15" customHeight="1" x14ac:dyDescent="0.25">
      <c r="B19" s="589" t="s">
        <v>257</v>
      </c>
      <c r="C19" s="590"/>
      <c r="D19" s="590"/>
      <c r="E19" s="590"/>
      <c r="F19" s="591" t="s">
        <v>258</v>
      </c>
      <c r="G19" s="591"/>
      <c r="H19" s="592"/>
      <c r="I19" s="591" t="s">
        <v>258</v>
      </c>
      <c r="J19" s="591"/>
      <c r="K19" s="592"/>
    </row>
    <row r="20" spans="2:12" customFormat="1" ht="22.5" customHeight="1" thickBot="1" x14ac:dyDescent="0.3">
      <c r="B20" s="593" t="s">
        <v>259</v>
      </c>
      <c r="C20" s="594"/>
      <c r="D20" s="594"/>
      <c r="E20" s="594"/>
      <c r="F20" s="594" t="s">
        <v>260</v>
      </c>
      <c r="G20" s="594"/>
      <c r="H20" s="595"/>
      <c r="I20" s="594" t="s">
        <v>260</v>
      </c>
      <c r="J20" s="594"/>
      <c r="K20" s="595"/>
    </row>
    <row r="21" spans="2:12" customFormat="1" ht="9" customHeight="1" thickBot="1" x14ac:dyDescent="0.3">
      <c r="B21" s="596"/>
      <c r="C21" s="596"/>
      <c r="D21" s="596"/>
      <c r="E21" s="596"/>
      <c r="F21" s="596"/>
      <c r="G21" s="596"/>
      <c r="H21" s="596"/>
      <c r="I21" s="596"/>
      <c r="J21" s="596"/>
      <c r="K21" s="596"/>
    </row>
    <row r="22" spans="2:12" customFormat="1" ht="15.75" thickBot="1" x14ac:dyDescent="0.3">
      <c r="B22" s="597" t="s">
        <v>207</v>
      </c>
      <c r="C22" s="598"/>
      <c r="D22" s="599"/>
      <c r="E22" s="131" t="s">
        <v>208</v>
      </c>
      <c r="F22" s="597" t="s">
        <v>209</v>
      </c>
      <c r="G22" s="599"/>
      <c r="H22" s="132" t="s">
        <v>210</v>
      </c>
      <c r="I22" s="597" t="s">
        <v>211</v>
      </c>
      <c r="J22" s="599"/>
      <c r="K22" s="133">
        <v>1</v>
      </c>
    </row>
    <row r="23" spans="2:12" ht="8.25" customHeight="1" x14ac:dyDescent="0.25"/>
    <row r="24" spans="2:12" x14ac:dyDescent="0.25">
      <c r="B24" s="588" t="s">
        <v>261</v>
      </c>
      <c r="C24" s="588"/>
      <c r="D24" s="588"/>
      <c r="E24" s="588"/>
      <c r="F24" s="588"/>
      <c r="G24" s="588"/>
      <c r="H24" s="588"/>
      <c r="I24" s="588"/>
      <c r="J24" s="588"/>
      <c r="K24" s="588"/>
      <c r="L24" s="588"/>
    </row>
    <row r="25" spans="2:12" x14ac:dyDescent="0.25">
      <c r="B25" s="588" t="s">
        <v>262</v>
      </c>
      <c r="C25" s="588"/>
      <c r="D25" s="588"/>
      <c r="E25" s="588"/>
      <c r="F25" s="588"/>
      <c r="G25" s="588"/>
      <c r="H25" s="588"/>
      <c r="I25" s="588"/>
      <c r="J25" s="588"/>
      <c r="K25" s="588"/>
      <c r="L25" s="588"/>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00" t="s">
        <v>54</v>
      </c>
      <c r="C1" s="600"/>
      <c r="D1" s="600"/>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01" t="s">
        <v>62</v>
      </c>
      <c r="C1" s="601"/>
      <c r="D1" s="601"/>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02" t="s">
        <v>77</v>
      </c>
      <c r="C1" s="603"/>
      <c r="D1" s="603"/>
      <c r="E1" s="603"/>
      <c r="F1" s="604"/>
    </row>
    <row r="2" spans="2:6" ht="16.5" thickBot="1" x14ac:dyDescent="0.3">
      <c r="B2" s="75"/>
      <c r="C2" s="75"/>
      <c r="D2" s="75"/>
      <c r="E2" s="75"/>
      <c r="F2" s="75"/>
    </row>
    <row r="3" spans="2:6" ht="16.5" thickBot="1" x14ac:dyDescent="0.25">
      <c r="B3" s="606" t="s">
        <v>63</v>
      </c>
      <c r="C3" s="607"/>
      <c r="D3" s="607"/>
      <c r="E3" s="87" t="s">
        <v>64</v>
      </c>
      <c r="F3" s="88" t="s">
        <v>65</v>
      </c>
    </row>
    <row r="4" spans="2:6" ht="31.5" x14ac:dyDescent="0.2">
      <c r="B4" s="608" t="s">
        <v>66</v>
      </c>
      <c r="C4" s="610" t="s">
        <v>13</v>
      </c>
      <c r="D4" s="76" t="s">
        <v>14</v>
      </c>
      <c r="E4" s="77" t="s">
        <v>67</v>
      </c>
      <c r="F4" s="78">
        <v>0.25</v>
      </c>
    </row>
    <row r="5" spans="2:6" ht="47.25" x14ac:dyDescent="0.2">
      <c r="B5" s="609"/>
      <c r="C5" s="611"/>
      <c r="D5" s="79" t="s">
        <v>15</v>
      </c>
      <c r="E5" s="80" t="s">
        <v>68</v>
      </c>
      <c r="F5" s="81">
        <v>0.15</v>
      </c>
    </row>
    <row r="6" spans="2:6" ht="47.25" x14ac:dyDescent="0.2">
      <c r="B6" s="609"/>
      <c r="C6" s="611"/>
      <c r="D6" s="79" t="s">
        <v>16</v>
      </c>
      <c r="E6" s="80" t="s">
        <v>69</v>
      </c>
      <c r="F6" s="81">
        <v>0.1</v>
      </c>
    </row>
    <row r="7" spans="2:6" ht="63" x14ac:dyDescent="0.2">
      <c r="B7" s="609"/>
      <c r="C7" s="611" t="s">
        <v>17</v>
      </c>
      <c r="D7" s="79" t="s">
        <v>10</v>
      </c>
      <c r="E7" s="80" t="s">
        <v>70</v>
      </c>
      <c r="F7" s="81">
        <v>0.25</v>
      </c>
    </row>
    <row r="8" spans="2:6" ht="31.5" x14ac:dyDescent="0.2">
      <c r="B8" s="609"/>
      <c r="C8" s="611"/>
      <c r="D8" s="79" t="s">
        <v>9</v>
      </c>
      <c r="E8" s="80" t="s">
        <v>71</v>
      </c>
      <c r="F8" s="81">
        <v>0.15</v>
      </c>
    </row>
    <row r="9" spans="2:6" ht="47.25" x14ac:dyDescent="0.2">
      <c r="B9" s="609" t="s">
        <v>158</v>
      </c>
      <c r="C9" s="611" t="s">
        <v>18</v>
      </c>
      <c r="D9" s="79" t="s">
        <v>19</v>
      </c>
      <c r="E9" s="80" t="s">
        <v>72</v>
      </c>
      <c r="F9" s="82" t="s">
        <v>73</v>
      </c>
    </row>
    <row r="10" spans="2:6" ht="63" x14ac:dyDescent="0.2">
      <c r="B10" s="609"/>
      <c r="C10" s="611"/>
      <c r="D10" s="79" t="s">
        <v>20</v>
      </c>
      <c r="E10" s="80" t="s">
        <v>74</v>
      </c>
      <c r="F10" s="82" t="s">
        <v>73</v>
      </c>
    </row>
    <row r="11" spans="2:6" ht="47.25" x14ac:dyDescent="0.2">
      <c r="B11" s="609"/>
      <c r="C11" s="611" t="s">
        <v>21</v>
      </c>
      <c r="D11" s="79" t="s">
        <v>22</v>
      </c>
      <c r="E11" s="80" t="s">
        <v>75</v>
      </c>
      <c r="F11" s="82" t="s">
        <v>73</v>
      </c>
    </row>
    <row r="12" spans="2:6" ht="47.25" x14ac:dyDescent="0.2">
      <c r="B12" s="609"/>
      <c r="C12" s="611"/>
      <c r="D12" s="79" t="s">
        <v>23</v>
      </c>
      <c r="E12" s="80" t="s">
        <v>76</v>
      </c>
      <c r="F12" s="82" t="s">
        <v>73</v>
      </c>
    </row>
    <row r="13" spans="2:6" ht="31.5" x14ac:dyDescent="0.2">
      <c r="B13" s="609"/>
      <c r="C13" s="611" t="s">
        <v>24</v>
      </c>
      <c r="D13" s="79" t="s">
        <v>118</v>
      </c>
      <c r="E13" s="80" t="s">
        <v>121</v>
      </c>
      <c r="F13" s="82" t="s">
        <v>73</v>
      </c>
    </row>
    <row r="14" spans="2:6" ht="32.25" thickBot="1" x14ac:dyDescent="0.25">
      <c r="B14" s="612"/>
      <c r="C14" s="613"/>
      <c r="D14" s="83" t="s">
        <v>119</v>
      </c>
      <c r="E14" s="84" t="s">
        <v>120</v>
      </c>
      <c r="F14" s="85" t="s">
        <v>73</v>
      </c>
    </row>
    <row r="15" spans="2:6" ht="49.5" customHeight="1" x14ac:dyDescent="0.2">
      <c r="B15" s="605" t="s">
        <v>155</v>
      </c>
      <c r="C15" s="605"/>
      <c r="D15" s="605"/>
      <c r="E15" s="605"/>
      <c r="F15" s="605"/>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9" t="s">
        <v>244</v>
      </c>
      <c r="C2" s="280"/>
      <c r="D2" s="267" t="s">
        <v>300</v>
      </c>
      <c r="E2" s="264" t="s">
        <v>376</v>
      </c>
      <c r="F2" s="253"/>
    </row>
    <row r="3" spans="1:8" ht="19.5" customHeight="1" x14ac:dyDescent="0.25">
      <c r="B3" s="248"/>
      <c r="C3" s="281"/>
      <c r="D3" s="268"/>
      <c r="E3" s="265" t="s">
        <v>264</v>
      </c>
      <c r="F3" s="255"/>
    </row>
    <row r="4" spans="1:8" ht="19.5" customHeight="1" x14ac:dyDescent="0.25">
      <c r="B4" s="248"/>
      <c r="C4" s="281"/>
      <c r="D4" s="268"/>
      <c r="E4" s="265" t="s">
        <v>388</v>
      </c>
      <c r="F4" s="255"/>
    </row>
    <row r="5" spans="1:8" ht="19.5" customHeight="1" thickBot="1" x14ac:dyDescent="0.3">
      <c r="A5" t="s">
        <v>266</v>
      </c>
      <c r="B5" s="250"/>
      <c r="C5" s="282"/>
      <c r="D5" s="269"/>
      <c r="E5" s="266" t="s">
        <v>245</v>
      </c>
      <c r="F5" s="257"/>
    </row>
    <row r="6" spans="1:8" ht="15.75" thickBot="1" x14ac:dyDescent="0.3"/>
    <row r="7" spans="1:8" x14ac:dyDescent="0.25">
      <c r="B7" s="270" t="s">
        <v>299</v>
      </c>
      <c r="C7" s="273" t="s">
        <v>268</v>
      </c>
      <c r="D7" s="274"/>
      <c r="E7" s="260" t="s">
        <v>270</v>
      </c>
      <c r="F7" s="261"/>
    </row>
    <row r="8" spans="1:8" ht="15.75" thickBot="1" x14ac:dyDescent="0.3">
      <c r="B8" s="271"/>
      <c r="C8" s="275"/>
      <c r="D8" s="276"/>
      <c r="E8" s="262"/>
      <c r="F8" s="263"/>
      <c r="H8" s="156">
        <f>+COUNTA($E$10:$E$28)</f>
        <v>0</v>
      </c>
    </row>
    <row r="9" spans="1:8" ht="15.75" thickBot="1" x14ac:dyDescent="0.3">
      <c r="B9" s="272"/>
      <c r="C9" s="277" t="s">
        <v>269</v>
      </c>
      <c r="D9" s="278"/>
      <c r="E9" s="153" t="s">
        <v>271</v>
      </c>
      <c r="F9" s="153" t="s">
        <v>272</v>
      </c>
      <c r="H9" s="156">
        <f>+COUNTA($F$10:$F$28)</f>
        <v>0</v>
      </c>
    </row>
    <row r="10" spans="1:8" ht="15.75" thickBot="1" x14ac:dyDescent="0.3">
      <c r="B10" s="152">
        <v>1</v>
      </c>
      <c r="C10" s="258" t="s">
        <v>273</v>
      </c>
      <c r="D10" s="259"/>
      <c r="E10" s="148"/>
      <c r="F10" s="149"/>
      <c r="H10" s="156">
        <f>+COUNTA($E$10:$E$28)-COUNTA(F10:F28)</f>
        <v>0</v>
      </c>
    </row>
    <row r="11" spans="1:8" ht="15.75" thickBot="1" x14ac:dyDescent="0.3">
      <c r="B11" s="152">
        <v>2</v>
      </c>
      <c r="C11" s="258" t="s">
        <v>275</v>
      </c>
      <c r="D11" s="259" t="s">
        <v>275</v>
      </c>
      <c r="E11" s="148"/>
      <c r="F11" s="149"/>
      <c r="H11" s="157"/>
    </row>
    <row r="12" spans="1:8" ht="15.75" thickBot="1" x14ac:dyDescent="0.3">
      <c r="B12" s="152">
        <v>3</v>
      </c>
      <c r="C12" s="258" t="s">
        <v>276</v>
      </c>
      <c r="D12" s="259" t="s">
        <v>276</v>
      </c>
      <c r="E12" s="148"/>
      <c r="F12" s="149"/>
    </row>
    <row r="13" spans="1:8" ht="15.75" thickBot="1" x14ac:dyDescent="0.3">
      <c r="B13" s="152">
        <v>4</v>
      </c>
      <c r="C13" s="258" t="s">
        <v>387</v>
      </c>
      <c r="D13" s="259" t="s">
        <v>277</v>
      </c>
      <c r="E13" s="148"/>
      <c r="F13" s="149"/>
    </row>
    <row r="14" spans="1:8" ht="15.75" thickBot="1" x14ac:dyDescent="0.3">
      <c r="B14" s="152">
        <v>5</v>
      </c>
      <c r="C14" s="258" t="s">
        <v>278</v>
      </c>
      <c r="D14" s="259" t="s">
        <v>278</v>
      </c>
      <c r="E14" s="148"/>
      <c r="F14" s="149"/>
    </row>
    <row r="15" spans="1:8" ht="15.75" thickBot="1" x14ac:dyDescent="0.3">
      <c r="B15" s="152">
        <v>6</v>
      </c>
      <c r="C15" s="258" t="s">
        <v>279</v>
      </c>
      <c r="D15" s="259" t="s">
        <v>279</v>
      </c>
      <c r="E15" s="148"/>
      <c r="F15" s="149"/>
    </row>
    <row r="16" spans="1:8" ht="15.75" thickBot="1" x14ac:dyDescent="0.3">
      <c r="B16" s="152">
        <v>7</v>
      </c>
      <c r="C16" s="258" t="s">
        <v>280</v>
      </c>
      <c r="D16" s="259" t="s">
        <v>280</v>
      </c>
      <c r="E16" s="148"/>
      <c r="F16" s="149"/>
    </row>
    <row r="17" spans="2:7" ht="28.5" customHeight="1" thickBot="1" x14ac:dyDescent="0.3">
      <c r="B17" s="152">
        <v>8</v>
      </c>
      <c r="C17" s="258" t="s">
        <v>281</v>
      </c>
      <c r="D17" s="259" t="s">
        <v>281</v>
      </c>
      <c r="E17" s="148"/>
      <c r="F17" s="149"/>
    </row>
    <row r="18" spans="2:7" ht="18.75" customHeight="1" thickBot="1" x14ac:dyDescent="0.3">
      <c r="B18" s="152">
        <v>9</v>
      </c>
      <c r="C18" s="258" t="s">
        <v>282</v>
      </c>
      <c r="D18" s="259" t="s">
        <v>282</v>
      </c>
      <c r="E18" s="148"/>
      <c r="F18" s="149"/>
    </row>
    <row r="19" spans="2:7" ht="15.75" thickBot="1" x14ac:dyDescent="0.3">
      <c r="B19" s="152">
        <v>10</v>
      </c>
      <c r="C19" s="258" t="s">
        <v>283</v>
      </c>
      <c r="D19" s="259" t="s">
        <v>283</v>
      </c>
      <c r="E19" s="148"/>
      <c r="F19" s="149"/>
    </row>
    <row r="20" spans="2:7" ht="15.75" thickBot="1" x14ac:dyDescent="0.3">
      <c r="B20" s="152">
        <v>11</v>
      </c>
      <c r="C20" s="258" t="s">
        <v>284</v>
      </c>
      <c r="D20" s="259" t="s">
        <v>284</v>
      </c>
      <c r="E20" s="148"/>
      <c r="F20" s="149"/>
    </row>
    <row r="21" spans="2:7" ht="15.75" thickBot="1" x14ac:dyDescent="0.3">
      <c r="B21" s="152">
        <v>12</v>
      </c>
      <c r="C21" s="258" t="s">
        <v>285</v>
      </c>
      <c r="D21" s="259" t="s">
        <v>285</v>
      </c>
      <c r="E21" s="148"/>
      <c r="F21" s="149"/>
    </row>
    <row r="22" spans="2:7" ht="15.75" thickBot="1" x14ac:dyDescent="0.3">
      <c r="B22" s="152">
        <v>13</v>
      </c>
      <c r="C22" s="258" t="s">
        <v>286</v>
      </c>
      <c r="D22" s="259" t="s">
        <v>286</v>
      </c>
      <c r="E22" s="148"/>
      <c r="F22" s="149"/>
    </row>
    <row r="23" spans="2:7" ht="15.75" thickBot="1" x14ac:dyDescent="0.3">
      <c r="B23" s="152">
        <v>14</v>
      </c>
      <c r="C23" s="258" t="s">
        <v>287</v>
      </c>
      <c r="D23" s="259" t="s">
        <v>287</v>
      </c>
      <c r="E23" s="148"/>
      <c r="F23" s="149"/>
    </row>
    <row r="24" spans="2:7" ht="15.75" thickBot="1" x14ac:dyDescent="0.3">
      <c r="B24" s="152">
        <v>15</v>
      </c>
      <c r="C24" s="258" t="s">
        <v>288</v>
      </c>
      <c r="D24" s="259" t="s">
        <v>288</v>
      </c>
      <c r="E24" s="148"/>
      <c r="F24" s="149"/>
    </row>
    <row r="25" spans="2:7" ht="15.75" thickBot="1" x14ac:dyDescent="0.3">
      <c r="B25" s="152">
        <v>16</v>
      </c>
      <c r="C25" s="258" t="s">
        <v>289</v>
      </c>
      <c r="D25" s="259" t="s">
        <v>289</v>
      </c>
      <c r="E25" s="148"/>
      <c r="F25" s="149"/>
    </row>
    <row r="26" spans="2:7" ht="15.75" thickBot="1" x14ac:dyDescent="0.3">
      <c r="B26" s="152">
        <v>17</v>
      </c>
      <c r="C26" s="258" t="s">
        <v>290</v>
      </c>
      <c r="D26" s="259" t="s">
        <v>290</v>
      </c>
      <c r="E26" s="148"/>
      <c r="F26" s="149"/>
    </row>
    <row r="27" spans="2:7" ht="15.75" thickBot="1" x14ac:dyDescent="0.3">
      <c r="B27" s="152">
        <v>18</v>
      </c>
      <c r="C27" s="258" t="s">
        <v>291</v>
      </c>
      <c r="D27" s="259" t="s">
        <v>291</v>
      </c>
      <c r="E27" s="148"/>
      <c r="F27" s="149"/>
    </row>
    <row r="28" spans="2:7" ht="15.75" thickBot="1" x14ac:dyDescent="0.3">
      <c r="B28" s="152">
        <v>19</v>
      </c>
      <c r="C28" s="258" t="s">
        <v>292</v>
      </c>
      <c r="D28" s="259"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conditionalFormatting sqref="G29">
    <cfRule type="cellIs" dxfId="28" priority="1" stopIfTrue="1" operator="equal">
      <formula>"Catastrófico"</formula>
    </cfRule>
    <cfRule type="cellIs" dxfId="27" priority="2" stopIfTrue="1" operator="equal">
      <formula>"Moderado"</formula>
    </cfRule>
    <cfRule type="cellIs" dxfId="26"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E31"/>
  <sheetViews>
    <sheetView showGridLines="0" zoomScale="60" zoomScaleNormal="60" workbookViewId="0">
      <pane ySplit="10" topLeftCell="A12" activePane="bottomLeft" state="frozen"/>
      <selection pane="bottomLeft" activeCell="I18" sqref="I18"/>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6" width="18.42578125" style="180" customWidth="1"/>
    <col min="7" max="8" width="12" style="180" customWidth="1"/>
    <col min="9" max="9" width="120.85546875" style="180" customWidth="1"/>
    <col min="10" max="10" width="23.42578125" style="180" customWidth="1"/>
    <col min="11" max="11" width="31" style="180" hidden="1" customWidth="1"/>
    <col min="12" max="12" width="16.28515625" style="180" hidden="1" customWidth="1"/>
    <col min="13" max="13" width="25.5703125" style="180" hidden="1" customWidth="1"/>
    <col min="14" max="14" width="46.85546875" style="179" customWidth="1"/>
    <col min="15" max="17" width="19.7109375" style="181" customWidth="1"/>
    <col min="18" max="18" width="17.7109375" style="179" customWidth="1"/>
    <col min="19" max="19" width="16.42578125" style="179" customWidth="1"/>
    <col min="20" max="20" width="6.28515625" style="179" bestFit="1" customWidth="1"/>
    <col min="21" max="21" width="24.85546875" style="179" customWidth="1"/>
    <col min="22" max="22" width="17" style="179" customWidth="1"/>
    <col min="23" max="23" width="17.42578125" style="179" customWidth="1"/>
    <col min="24" max="24" width="6.28515625" style="179" bestFit="1" customWidth="1"/>
    <col min="25" max="25" width="16" style="179" customWidth="1"/>
    <col min="26" max="26" width="5.7109375" style="179" customWidth="1"/>
    <col min="27" max="27" width="86.85546875" style="179" customWidth="1"/>
    <col min="28" max="28" width="69.5703125" style="179" customWidth="1"/>
    <col min="29" max="29" width="15.140625" style="179" bestFit="1" customWidth="1"/>
    <col min="30" max="30" width="6.7109375" style="179" customWidth="1"/>
    <col min="31" max="31" width="5" style="179" customWidth="1"/>
    <col min="32" max="32" width="5.42578125" style="179" customWidth="1"/>
    <col min="33" max="33" width="7.140625" style="179" customWidth="1"/>
    <col min="34" max="34" width="6.7109375" style="179" customWidth="1"/>
    <col min="35" max="35" width="8.28515625" style="179" customWidth="1"/>
    <col min="36" max="36" width="12.5703125" style="179" customWidth="1"/>
    <col min="37" max="37" width="13.7109375" style="179" customWidth="1"/>
    <col min="38" max="38" width="8.7109375" style="179" customWidth="1"/>
    <col min="39" max="39" width="10.42578125" style="179" customWidth="1"/>
    <col min="40" max="40" width="9.28515625" style="179" customWidth="1"/>
    <col min="41" max="41" width="9.140625" style="179" customWidth="1"/>
    <col min="42" max="42" width="8.42578125" style="179" customWidth="1"/>
    <col min="43" max="43" width="7.28515625" style="179" customWidth="1"/>
    <col min="44" max="44" width="44.28515625" style="179" customWidth="1"/>
    <col min="45" max="45" width="52.85546875" style="179" customWidth="1"/>
    <col min="46" max="46" width="18.7109375" style="179" customWidth="1"/>
    <col min="47" max="47" width="16.7109375" style="179" customWidth="1"/>
    <col min="48" max="48" width="14.7109375" style="179" customWidth="1"/>
    <col min="49" max="49" width="18.42578125" style="179" customWidth="1"/>
    <col min="50" max="50" width="21" style="179" customWidth="1"/>
    <col min="51" max="51" width="14.140625" style="179" customWidth="1"/>
    <col min="52" max="52" width="17.7109375" style="179" customWidth="1"/>
    <col min="53" max="54" width="20.7109375" style="179" customWidth="1"/>
    <col min="55" max="55" width="15.42578125" style="179" customWidth="1"/>
    <col min="56" max="56" width="19.5703125" style="179" customWidth="1"/>
    <col min="57" max="57" width="17.28515625" style="179" customWidth="1"/>
    <col min="58" max="16384" width="11.42578125" style="179"/>
  </cols>
  <sheetData>
    <row r="1" spans="1:83" ht="15" thickBot="1" x14ac:dyDescent="0.25"/>
    <row r="2" spans="1:83" ht="27.75" customHeight="1" x14ac:dyDescent="0.2">
      <c r="D2" s="324" t="s">
        <v>301</v>
      </c>
      <c r="E2" s="325"/>
      <c r="F2" s="325"/>
      <c r="G2" s="325"/>
      <c r="H2" s="325"/>
      <c r="I2" s="226"/>
      <c r="J2" s="234"/>
      <c r="K2" s="330" t="s">
        <v>205</v>
      </c>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1"/>
      <c r="BD2" s="312" t="s">
        <v>376</v>
      </c>
      <c r="BE2" s="313"/>
    </row>
    <row r="3" spans="1:83" ht="27.75" customHeight="1" x14ac:dyDescent="0.2">
      <c r="D3" s="326"/>
      <c r="E3" s="327"/>
      <c r="F3" s="327"/>
      <c r="G3" s="327"/>
      <c r="H3" s="327"/>
      <c r="I3" s="224"/>
      <c r="J3" s="230"/>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3"/>
      <c r="BD3" s="313" t="s">
        <v>242</v>
      </c>
      <c r="BE3" s="314"/>
    </row>
    <row r="4" spans="1:83" ht="27.75" customHeight="1" x14ac:dyDescent="0.2">
      <c r="D4" s="326"/>
      <c r="E4" s="327"/>
      <c r="F4" s="327"/>
      <c r="G4" s="327"/>
      <c r="H4" s="327"/>
      <c r="I4" s="224"/>
      <c r="J4" s="230"/>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332"/>
      <c r="AO4" s="332"/>
      <c r="AP4" s="332"/>
      <c r="AQ4" s="332"/>
      <c r="AR4" s="332"/>
      <c r="AS4" s="332"/>
      <c r="AT4" s="332"/>
      <c r="AU4" s="332"/>
      <c r="AV4" s="332"/>
      <c r="AW4" s="332"/>
      <c r="AX4" s="332"/>
      <c r="AY4" s="332"/>
      <c r="AZ4" s="332"/>
      <c r="BA4" s="332"/>
      <c r="BB4" s="332"/>
      <c r="BC4" s="333"/>
      <c r="BD4" s="313" t="s">
        <v>388</v>
      </c>
      <c r="BE4" s="314"/>
    </row>
    <row r="5" spans="1:83" ht="27.75" customHeight="1" thickBot="1" x14ac:dyDescent="0.25">
      <c r="D5" s="328"/>
      <c r="E5" s="329"/>
      <c r="F5" s="329"/>
      <c r="G5" s="329"/>
      <c r="H5" s="329"/>
      <c r="I5" s="225"/>
      <c r="J5" s="235"/>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4"/>
      <c r="BC5" s="335"/>
      <c r="BD5" s="313" t="s">
        <v>206</v>
      </c>
      <c r="BE5" s="314"/>
    </row>
    <row r="6" spans="1:83" ht="13.9" customHeight="1" x14ac:dyDescent="0.25">
      <c r="D6" s="119"/>
      <c r="E6" s="120"/>
      <c r="F6" s="120"/>
      <c r="G6" s="120"/>
      <c r="H6" s="120"/>
      <c r="I6" s="120"/>
      <c r="J6" s="120"/>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22"/>
      <c r="BE6" s="121"/>
    </row>
    <row r="7" spans="1:83" ht="26.25" customHeight="1" x14ac:dyDescent="0.2">
      <c r="D7" s="294" t="s">
        <v>42</v>
      </c>
      <c r="E7" s="295"/>
      <c r="F7" s="295"/>
      <c r="G7" s="296"/>
      <c r="H7" s="297" t="s">
        <v>450</v>
      </c>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c r="BD7" s="298"/>
      <c r="BE7" s="299"/>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row>
    <row r="8" spans="1:83" ht="54" customHeight="1" x14ac:dyDescent="0.2">
      <c r="D8" s="294" t="s">
        <v>129</v>
      </c>
      <c r="E8" s="295"/>
      <c r="F8" s="295"/>
      <c r="G8" s="296"/>
      <c r="H8" s="654" t="s">
        <v>451</v>
      </c>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B8" s="298"/>
      <c r="BC8" s="298"/>
      <c r="BD8" s="298"/>
      <c r="BE8" s="299"/>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row>
    <row r="9" spans="1:83" ht="24" customHeight="1" x14ac:dyDescent="0.2">
      <c r="D9" s="294" t="s">
        <v>43</v>
      </c>
      <c r="E9" s="295"/>
      <c r="F9" s="295"/>
      <c r="G9" s="296"/>
      <c r="H9" s="297" t="s">
        <v>452</v>
      </c>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9"/>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row>
    <row r="10" spans="1:83"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9"/>
      <c r="AZ10" s="189"/>
      <c r="BA10" s="189"/>
      <c r="BB10" s="189"/>
      <c r="BC10" s="189"/>
      <c r="BD10" s="189"/>
      <c r="BE10" s="189"/>
    </row>
    <row r="11" spans="1:83" s="184" customFormat="1" ht="24" customHeight="1" x14ac:dyDescent="0.25">
      <c r="A11" s="292" t="s">
        <v>266</v>
      </c>
      <c r="B11" s="292"/>
      <c r="C11" s="293"/>
      <c r="D11" s="301" t="s">
        <v>304</v>
      </c>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c r="AO11" s="302"/>
      <c r="AP11" s="302"/>
      <c r="AQ11" s="302"/>
      <c r="AR11" s="302"/>
      <c r="AS11" s="302"/>
      <c r="AT11" s="302"/>
      <c r="AU11" s="302"/>
      <c r="AV11" s="302"/>
      <c r="AW11" s="302"/>
      <c r="AX11" s="302"/>
      <c r="AY11" s="303" t="s">
        <v>302</v>
      </c>
      <c r="AZ11" s="304"/>
      <c r="BA11" s="304"/>
      <c r="BB11" s="305"/>
      <c r="BC11" s="306" t="s">
        <v>303</v>
      </c>
      <c r="BD11" s="307"/>
      <c r="BE11" s="308"/>
    </row>
    <row r="12" spans="1:83" ht="24.75" customHeight="1" x14ac:dyDescent="0.2">
      <c r="D12" s="311" t="s">
        <v>137</v>
      </c>
      <c r="E12" s="311"/>
      <c r="F12" s="311"/>
      <c r="G12" s="311"/>
      <c r="H12" s="311"/>
      <c r="I12" s="338"/>
      <c r="J12" s="338"/>
      <c r="K12" s="338"/>
      <c r="L12" s="338"/>
      <c r="M12" s="338"/>
      <c r="N12" s="338"/>
      <c r="O12" s="338"/>
      <c r="P12" s="338"/>
      <c r="Q12" s="338"/>
      <c r="R12" s="338"/>
      <c r="S12" s="338" t="s">
        <v>138</v>
      </c>
      <c r="T12" s="338"/>
      <c r="U12" s="338"/>
      <c r="V12" s="338"/>
      <c r="W12" s="338"/>
      <c r="X12" s="338"/>
      <c r="Y12" s="338"/>
      <c r="Z12" s="338" t="s">
        <v>139</v>
      </c>
      <c r="AA12" s="338"/>
      <c r="AB12" s="338"/>
      <c r="AC12" s="338"/>
      <c r="AD12" s="338"/>
      <c r="AE12" s="338"/>
      <c r="AF12" s="338"/>
      <c r="AG12" s="338"/>
      <c r="AH12" s="338"/>
      <c r="AI12" s="338"/>
      <c r="AJ12" s="289" t="s">
        <v>18</v>
      </c>
      <c r="AK12" s="338" t="s">
        <v>140</v>
      </c>
      <c r="AL12" s="338"/>
      <c r="AM12" s="338"/>
      <c r="AN12" s="338"/>
      <c r="AO12" s="338"/>
      <c r="AP12" s="338"/>
      <c r="AQ12" s="338"/>
      <c r="AR12" s="231"/>
      <c r="AS12" s="317" t="s">
        <v>34</v>
      </c>
      <c r="AT12" s="318"/>
      <c r="AU12" s="318"/>
      <c r="AV12" s="318"/>
      <c r="AW12" s="318"/>
      <c r="AX12" s="318"/>
      <c r="AY12" s="318"/>
      <c r="AZ12" s="318"/>
      <c r="BA12" s="318"/>
      <c r="BB12" s="318"/>
      <c r="BC12" s="318"/>
      <c r="BD12" s="318"/>
      <c r="BE12" s="318"/>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row>
    <row r="13" spans="1:83" ht="33" customHeight="1" x14ac:dyDescent="0.2">
      <c r="D13" s="300" t="s">
        <v>0</v>
      </c>
      <c r="E13" s="310" t="s">
        <v>311</v>
      </c>
      <c r="F13" s="190"/>
      <c r="G13" s="190"/>
      <c r="H13" s="311" t="s">
        <v>224</v>
      </c>
      <c r="I13" s="285" t="s">
        <v>391</v>
      </c>
      <c r="J13" s="286"/>
      <c r="K13" s="310" t="s">
        <v>307</v>
      </c>
      <c r="L13" s="191"/>
      <c r="M13" s="310" t="s">
        <v>308</v>
      </c>
      <c r="N13" s="311" t="s">
        <v>1</v>
      </c>
      <c r="O13" s="336" t="s">
        <v>49</v>
      </c>
      <c r="P13" s="285" t="s">
        <v>391</v>
      </c>
      <c r="Q13" s="286"/>
      <c r="R13" s="310" t="s">
        <v>133</v>
      </c>
      <c r="S13" s="310" t="s">
        <v>33</v>
      </c>
      <c r="T13" s="311" t="s">
        <v>5</v>
      </c>
      <c r="U13" s="310" t="s">
        <v>86</v>
      </c>
      <c r="V13" s="310" t="s">
        <v>91</v>
      </c>
      <c r="W13" s="310" t="s">
        <v>44</v>
      </c>
      <c r="X13" s="311" t="s">
        <v>5</v>
      </c>
      <c r="Y13" s="310" t="s">
        <v>47</v>
      </c>
      <c r="Z13" s="323" t="s">
        <v>11</v>
      </c>
      <c r="AA13" s="310" t="s">
        <v>159</v>
      </c>
      <c r="AB13" s="310" t="s">
        <v>204</v>
      </c>
      <c r="AC13" s="310" t="s">
        <v>12</v>
      </c>
      <c r="AD13" s="310" t="s">
        <v>8</v>
      </c>
      <c r="AE13" s="310"/>
      <c r="AF13" s="310"/>
      <c r="AG13" s="310"/>
      <c r="AH13" s="310"/>
      <c r="AI13" s="310"/>
      <c r="AJ13" s="290"/>
      <c r="AK13" s="323" t="s">
        <v>136</v>
      </c>
      <c r="AL13" s="323" t="s">
        <v>45</v>
      </c>
      <c r="AM13" s="323" t="s">
        <v>5</v>
      </c>
      <c r="AN13" s="323" t="s">
        <v>46</v>
      </c>
      <c r="AO13" s="323" t="s">
        <v>5</v>
      </c>
      <c r="AP13" s="323" t="s">
        <v>48</v>
      </c>
      <c r="AQ13" s="323" t="s">
        <v>29</v>
      </c>
      <c r="AR13" s="233" t="s">
        <v>411</v>
      </c>
      <c r="AS13" s="336" t="s">
        <v>34</v>
      </c>
      <c r="AT13" s="310" t="s">
        <v>35</v>
      </c>
      <c r="AU13" s="310" t="s">
        <v>36</v>
      </c>
      <c r="AV13" s="310" t="s">
        <v>37</v>
      </c>
      <c r="AW13" s="310" t="s">
        <v>212</v>
      </c>
      <c r="AX13" s="310" t="s">
        <v>38</v>
      </c>
      <c r="AY13" s="319" t="s">
        <v>37</v>
      </c>
      <c r="AZ13" s="321" t="s">
        <v>213</v>
      </c>
      <c r="BA13" s="321" t="s">
        <v>38</v>
      </c>
      <c r="BB13" s="315" t="s">
        <v>243</v>
      </c>
      <c r="BC13" s="309" t="s">
        <v>37</v>
      </c>
      <c r="BD13" s="309" t="s">
        <v>214</v>
      </c>
      <c r="BE13" s="309" t="s">
        <v>38</v>
      </c>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row>
    <row r="14" spans="1:83" s="195" customFormat="1" ht="78" customHeight="1" x14ac:dyDescent="0.25">
      <c r="A14" s="192"/>
      <c r="B14" s="192"/>
      <c r="C14" s="192"/>
      <c r="D14" s="300"/>
      <c r="E14" s="310"/>
      <c r="F14" s="190" t="s">
        <v>2</v>
      </c>
      <c r="G14" s="191" t="s">
        <v>316</v>
      </c>
      <c r="H14" s="311"/>
      <c r="I14" s="191" t="s">
        <v>397</v>
      </c>
      <c r="J14" s="190" t="s">
        <v>398</v>
      </c>
      <c r="K14" s="310"/>
      <c r="L14" s="191" t="s">
        <v>366</v>
      </c>
      <c r="M14" s="310"/>
      <c r="N14" s="311"/>
      <c r="O14" s="337"/>
      <c r="P14" s="212" t="s">
        <v>240</v>
      </c>
      <c r="Q14" s="212" t="s">
        <v>241</v>
      </c>
      <c r="R14" s="310"/>
      <c r="S14" s="310"/>
      <c r="T14" s="311"/>
      <c r="U14" s="310"/>
      <c r="V14" s="310"/>
      <c r="W14" s="311"/>
      <c r="X14" s="311"/>
      <c r="Y14" s="310"/>
      <c r="Z14" s="323"/>
      <c r="AA14" s="310"/>
      <c r="AB14" s="310"/>
      <c r="AC14" s="310"/>
      <c r="AD14" s="193" t="s">
        <v>13</v>
      </c>
      <c r="AE14" s="193" t="s">
        <v>17</v>
      </c>
      <c r="AF14" s="193" t="s">
        <v>28</v>
      </c>
      <c r="AG14" s="193" t="s">
        <v>18</v>
      </c>
      <c r="AH14" s="193" t="s">
        <v>21</v>
      </c>
      <c r="AI14" s="193" t="s">
        <v>24</v>
      </c>
      <c r="AJ14" s="291"/>
      <c r="AK14" s="323"/>
      <c r="AL14" s="323"/>
      <c r="AM14" s="323"/>
      <c r="AN14" s="323"/>
      <c r="AO14" s="323"/>
      <c r="AP14" s="323"/>
      <c r="AQ14" s="323"/>
      <c r="AR14" s="191" t="s">
        <v>410</v>
      </c>
      <c r="AS14" s="337"/>
      <c r="AT14" s="310"/>
      <c r="AU14" s="310"/>
      <c r="AV14" s="310"/>
      <c r="AW14" s="310"/>
      <c r="AX14" s="310"/>
      <c r="AY14" s="320"/>
      <c r="AZ14" s="322"/>
      <c r="BA14" s="322"/>
      <c r="BB14" s="316"/>
      <c r="BC14" s="309"/>
      <c r="BD14" s="309"/>
      <c r="BE14" s="309"/>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row>
    <row r="15" spans="1:83" s="196" customFormat="1" ht="93.75" customHeight="1" x14ac:dyDescent="0.25">
      <c r="D15" s="283">
        <v>1</v>
      </c>
      <c r="E15" s="283" t="s">
        <v>220</v>
      </c>
      <c r="F15" s="283" t="s">
        <v>132</v>
      </c>
      <c r="G15" s="283" t="s">
        <v>313</v>
      </c>
      <c r="H15" s="283" t="s">
        <v>229</v>
      </c>
      <c r="I15" s="214" t="s">
        <v>399</v>
      </c>
      <c r="J15" s="616" t="s">
        <v>403</v>
      </c>
      <c r="K15" s="227"/>
      <c r="L15" s="198"/>
      <c r="M15" s="227"/>
      <c r="N15" s="616" t="s">
        <v>404</v>
      </c>
      <c r="O15" s="616" t="s">
        <v>125</v>
      </c>
      <c r="P15" s="616" t="s">
        <v>233</v>
      </c>
      <c r="Q15" s="629" t="s">
        <v>237</v>
      </c>
      <c r="R15" s="616">
        <v>5000</v>
      </c>
      <c r="S15" s="623" t="str">
        <f t="shared" ref="S15:S18" si="0">IF(R15&lt;=0,"",IF(R15&lt;=2,"Muy Baja",IF(R15&lt;=24,"Baja",IF(R15&lt;=500,"Media",IF(R15&lt;=5000,"Alta","Muy Alta")))))</f>
        <v>Alta</v>
      </c>
      <c r="T15" s="626">
        <f>IF(S15="","",IF(S15="Muy Baja",0.2,IF(S15="Baja",0.4,IF(S15="Media",0.6,IF(S15="Alta",0.8,IF(S15="Muy Alta",1,))))))</f>
        <v>0.8</v>
      </c>
      <c r="U15" s="632" t="s">
        <v>148</v>
      </c>
      <c r="V15" s="626" t="str">
        <f>IF(NOT(ISERROR(MATCH(U15,'[2]Tabla Impacto'!$B$221:$B$223,0))),'[2]Tabla Impacto'!$F$223&amp;"Por favor no seleccionar los criterios de impacto(Afectación Económica o presupuestal y Pérdida Reputacional)",U15)</f>
        <v xml:space="preserve">     Mayor a 500 SMLMV </v>
      </c>
      <c r="W15" s="620" t="str">
        <f>IF(OR(V15='[3]Tabla Impacto'!$C$11,V15='[3]Tabla Impacto'!$D$11),"Leve",IF(OR(V15='[3]Tabla Impacto'!$C$12,V15='[3]Tabla Impacto'!$D$12),"Menor",IF(OR(V15='[3]Tabla Impacto'!$C$13,V15='[3]Tabla Impacto'!$D$13),"Moderado",IF(OR(V15='[3]Tabla Impacto'!$C$14,V15='[3]Tabla Impacto'!$D$14),"Mayor",IF(OR(V15='[3]Tabla Impacto'!$C$15,V15='[3]Tabla Impacto'!$D$15),"Catastrófico","")))))</f>
        <v>Catastrófico</v>
      </c>
      <c r="X15" s="626">
        <f>IF(W15="","",IF(W15="Leve",0.2,IF(W15="Menor",0.4,IF(W15="Moderado",0.6,IF(W15="Mayor",0.8,IF(W15="Catastrófico",1,))))))</f>
        <v>1</v>
      </c>
      <c r="Y15" s="623" t="str">
        <f>IF(OR(AND(S15="Muy Baja",W15="Leve"),AND(S15="Muy Baja",W15="Menor"),AND(S15="Baja",W15="Leve")),"Bajo",IF(OR(AND(S15="Muy baja",W15="Moderado"),AND(S15="Baja",W15="Menor"),AND(S15="Baja",W15="Moderado"),AND(S15="Media",W15="Leve"),AND(S15="Media",W15="Menor"),AND(S15="Media",W15="Moderado"),AND(S15="Alta",W15="Leve"),AND(S15="Alta",W15="Menor")),"Moderado",IF(OR(AND(S15="Muy Baja",W15="Mayor"),AND(S15="Baja",W15="Mayor"),AND(S15="Media",W15="Mayor"),AND(S15="Alta",W15="Moderado"),AND(S15="Alta",W15="Mayor"),AND(S15="Muy Alta",W15="Leve"),AND(S15="Muy Alta",W15="Menor"),AND(S15="Muy Alta",W15="Moderado"),AND(S15="Muy Alta",W15="Mayor")),"Alto",IF(OR(AND(S15="Muy Baja",W15="Catastrófico"),AND(S15="Baja",W15="Catastrófico"),AND(S15="Media",W15="Catastrófico"),AND(S15="Alta",W15="Catastrófico"),AND(S15="Muy Alta",W15="Catastrófico")),"Extremo",""))))</f>
        <v>Extremo</v>
      </c>
      <c r="Z15" s="619">
        <v>1</v>
      </c>
      <c r="AA15" s="214" t="s">
        <v>465</v>
      </c>
      <c r="AB15" s="198" t="s">
        <v>405</v>
      </c>
      <c r="AC15" s="220" t="str">
        <f>IF(OR(AD15="Preventivo",AD15="Detectivo"),"Probabilidad",IF(AD15="Correctivo","Impacto",""))</f>
        <v>Probabilidad</v>
      </c>
      <c r="AD15" s="221" t="s">
        <v>14</v>
      </c>
      <c r="AE15" s="221" t="s">
        <v>9</v>
      </c>
      <c r="AF15" s="217" t="str">
        <f>IF(AND(AD15="Preventivo",AE15="Automático"),"50%",IF(AND(AD15="Preventivo",AE15="Manual"),"40%",IF(AND(AD15="Detectivo",AE15="Automático"),"40%",IF(AND(AD15="Detectivo",AE15="Manual"),"30%",IF(AND(AD15="Correctivo",AE15="Automático"),"35%",IF(AND(AD15="Correctivo",AE15="Manual"),"25%",""))))))</f>
        <v>40%</v>
      </c>
      <c r="AG15" s="221" t="s">
        <v>19</v>
      </c>
      <c r="AH15" s="221" t="s">
        <v>22</v>
      </c>
      <c r="AI15" s="221" t="s">
        <v>118</v>
      </c>
      <c r="AJ15" s="216" t="s">
        <v>409</v>
      </c>
      <c r="AK15" s="635">
        <f>IFERROR(IF(AC15="Probabilidad",(T15-(+T15*AF15)),IF(AC15="Impacto",T15,"")),"")</f>
        <v>0.48</v>
      </c>
      <c r="AL15" s="222" t="str">
        <f>IFERROR(IF(AK15="","",IF(AK15&lt;=0.2,"Muy Baja",IF(AK15&lt;=0.4,"Baja",IF(AK15&lt;=0.6,"Media",IF(AK15&lt;=0.8,"Alta","Muy Alta"))))),"")</f>
        <v>Media</v>
      </c>
      <c r="AM15" s="217">
        <f t="shared" ref="AM15" si="1">+AK15</f>
        <v>0.48</v>
      </c>
      <c r="AN15" s="222" t="str">
        <f>IFERROR(IF(AO15="","",IF(AO15&lt;=0.2,"Leve",IF(AO15&lt;=0.4,"Menor",IF(AO15&lt;=0.6,"Moderado",IF(AO15&lt;=0.8,"Mayor","Catastrófico"))))),"")</f>
        <v>Catastrófico</v>
      </c>
      <c r="AO15" s="217">
        <f>IFERROR(IF(AC15="Impacto",(X15-(+X15*AF15)),IF(AC15="Probabilidad",X15,"")),"")</f>
        <v>1</v>
      </c>
      <c r="AP15" s="222" t="str">
        <f t="shared" ref="AP15" si="2">IFERROR(IF(OR(AND(AL15="Muy Baja",AN15="Leve"),AND(AL15="Muy Baja",AN15="Menor"),AND(AL15="Baja",AN15="Leve")),"Bajo",IF(OR(AND(AL15="Muy baja",AN15="Moderado"),AND(AL15="Baja",AN15="Menor"),AND(AL15="Baja",AN15="Moderado"),AND(AL15="Media",AN15="Leve"),AND(AL15="Media",AN15="Menor"),AND(AL15="Media",AN15="Moderado"),AND(AL15="Alta",AN15="Leve"),AND(AL15="Alta",AN15="Menor")),"Moderado",IF(OR(AND(AL15="Muy Baja",AN15="Mayor"),AND(AL15="Baja",AN15="Mayor"),AND(AL15="Media",AN15="Mayor"),AND(AL15="Alta",AN15="Moderado"),AND(AL15="Alta",AN15="Mayor"),AND(AL15="Muy Alta",AN15="Leve"),AND(AL15="Muy Alta",AN15="Menor"),AND(AL15="Muy Alta",AN15="Moderado"),AND(AL15="Muy Alta",AN15="Mayor")),"Alto",IF(OR(AND(AL15="Muy Baja",AN15="Catastrófico"),AND(AL15="Baja",AN15="Catastrófico"),AND(AL15="Media",AN15="Catastrófico"),AND(AL15="Alta",AN15="Catastrófico"),AND(AL15="Muy Alta",AN15="Catastrófico")),"Extremo","")))),"")</f>
        <v>Extremo</v>
      </c>
      <c r="AQ15" s="221" t="s">
        <v>32</v>
      </c>
      <c r="AR15" s="646" t="s">
        <v>435</v>
      </c>
      <c r="AS15" s="163" t="s">
        <v>436</v>
      </c>
      <c r="AT15" s="651" t="s">
        <v>449</v>
      </c>
      <c r="AU15" s="652">
        <v>45687</v>
      </c>
      <c r="AV15" s="219"/>
      <c r="AW15" s="216"/>
      <c r="AX15" s="216"/>
      <c r="AY15" s="219"/>
      <c r="AZ15" s="216"/>
      <c r="BA15" s="216"/>
      <c r="BB15" s="216"/>
      <c r="BC15" s="219"/>
      <c r="BD15" s="216"/>
      <c r="BE15" s="216"/>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row>
    <row r="16" spans="1:83" s="196" customFormat="1" ht="93.75" customHeight="1" x14ac:dyDescent="0.25">
      <c r="D16" s="614"/>
      <c r="E16" s="614"/>
      <c r="F16" s="614"/>
      <c r="G16" s="614"/>
      <c r="H16" s="614"/>
      <c r="I16" s="214" t="s">
        <v>400</v>
      </c>
      <c r="J16" s="617"/>
      <c r="K16" s="227"/>
      <c r="L16" s="198"/>
      <c r="M16" s="227"/>
      <c r="N16" s="617"/>
      <c r="O16" s="617"/>
      <c r="P16" s="617"/>
      <c r="Q16" s="630"/>
      <c r="R16" s="617"/>
      <c r="S16" s="624"/>
      <c r="T16" s="627"/>
      <c r="U16" s="633"/>
      <c r="V16" s="627"/>
      <c r="W16" s="621"/>
      <c r="X16" s="627"/>
      <c r="Y16" s="624"/>
      <c r="Z16" s="619">
        <v>2</v>
      </c>
      <c r="AA16" s="214" t="s">
        <v>464</v>
      </c>
      <c r="AB16" s="198" t="s">
        <v>406</v>
      </c>
      <c r="AC16" s="202" t="str">
        <f t="shared" ref="AC16:AC24" si="3">IF(OR(AD16="Preventivo",AD16="Detectivo"),"Probabilidad",IF(AD16="Correctivo","Impacto",""))</f>
        <v>Probabilidad</v>
      </c>
      <c r="AD16" s="221" t="s">
        <v>14</v>
      </c>
      <c r="AE16" s="221" t="s">
        <v>9</v>
      </c>
      <c r="AF16" s="200" t="str">
        <f t="shared" ref="AF16:AF24" si="4">IF(AND(AD16="Preventivo",AE16="Automático"),"50%",IF(AND(AD16="Preventivo",AE16="Manual"),"40%",IF(AND(AD16="Detectivo",AE16="Automático"),"40%",IF(AND(AD16="Detectivo",AE16="Manual"),"30%",IF(AND(AD16="Correctivo",AE16="Automático"),"35%",IF(AND(AD16="Correctivo",AE16="Manual"),"25%",""))))))</f>
        <v>40%</v>
      </c>
      <c r="AG16" s="221" t="s">
        <v>19</v>
      </c>
      <c r="AH16" s="221" t="s">
        <v>22</v>
      </c>
      <c r="AI16" s="221" t="s">
        <v>118</v>
      </c>
      <c r="AJ16" s="216" t="s">
        <v>409</v>
      </c>
      <c r="AK16" s="215">
        <f>IFERROR(IF(AND(AC15="Probabilidad",AC16="Probabilidad"),(AM15-(+AM15*AF16)),IF(AC16="Probabilidad",(U15-(+U15*AC16)),IF(AC16="Impacto",AM15,""))),"")</f>
        <v>0.28799999999999998</v>
      </c>
      <c r="AL16" s="204" t="str">
        <f t="shared" ref="AL16:AL24" si="5">IFERROR(IF(AK16="","",IF(AK16&lt;=0.2,"Muy Baja",IF(AK16&lt;=0.4,"Baja",IF(AK16&lt;=0.6,"Media",IF(AK16&lt;=0.8,"Alta","Muy Alta"))))),"")</f>
        <v>Baja</v>
      </c>
      <c r="AM16" s="200">
        <f t="shared" ref="AM16:AM24" si="6">+AK16</f>
        <v>0.28799999999999998</v>
      </c>
      <c r="AN16" s="204" t="str">
        <f t="shared" ref="AN16:AN24" si="7">IFERROR(IF(AO16="","",IF(AO16&lt;=0.2,"Leve",IF(AO16&lt;=0.4,"Menor",IF(AO16&lt;=0.6,"Moderado",IF(AO16&lt;=0.8,"Mayor","Catastrófico"))))),"")</f>
        <v>Catastrófico</v>
      </c>
      <c r="AO16" s="200">
        <f>IFERROR(IF(AC16="Impacto",(X15-(+X15*AF16)),IF(AC16="Probabilidad",X15,"")),"")</f>
        <v>1</v>
      </c>
      <c r="AP16" s="204" t="str">
        <f t="shared" ref="AP16:AP24" si="8">IFERROR(IF(OR(AND(AL16="Muy Baja",AN16="Leve"),AND(AL16="Muy Baja",AN16="Menor"),AND(AL16="Baja",AN16="Leve")),"Bajo",IF(OR(AND(AL16="Muy baja",AN16="Moderado"),AND(AL16="Baja",AN16="Menor"),AND(AL16="Baja",AN16="Moderado"),AND(AL16="Media",AN16="Leve"),AND(AL16="Media",AN16="Menor"),AND(AL16="Media",AN16="Moderado"),AND(AL16="Alta",AN16="Leve"),AND(AL16="Alta",AN16="Menor")),"Moderado",IF(OR(AND(AL16="Muy Baja",AN16="Mayor"),AND(AL16="Baja",AN16="Mayor"),AND(AL16="Media",AN16="Mayor"),AND(AL16="Alta",AN16="Moderado"),AND(AL16="Alta",AN16="Mayor"),AND(AL16="Muy Alta",AN16="Leve"),AND(AL16="Muy Alta",AN16="Menor"),AND(AL16="Muy Alta",AN16="Moderado"),AND(AL16="Muy Alta",AN16="Mayor")),"Alto",IF(OR(AND(AL16="Muy Baja",AN16="Catastrófico"),AND(AL16="Baja",AN16="Catastrófico"),AND(AL16="Media",AN16="Catastrófico"),AND(AL16="Alta",AN16="Catastrófico"),AND(AL16="Muy Alta",AN16="Catastrófico")),"Extremo","")))),"")</f>
        <v>Extremo</v>
      </c>
      <c r="AQ16" s="203" t="s">
        <v>134</v>
      </c>
      <c r="AR16" s="647"/>
      <c r="AS16" s="163" t="s">
        <v>437</v>
      </c>
      <c r="AT16" s="651"/>
      <c r="AU16" s="652"/>
      <c r="AV16" s="205"/>
      <c r="AW16" s="198"/>
      <c r="AX16" s="198"/>
      <c r="AY16" s="205"/>
      <c r="AZ16" s="198"/>
      <c r="BA16" s="198"/>
      <c r="BB16" s="198"/>
      <c r="BC16" s="205"/>
      <c r="BD16" s="198"/>
      <c r="BE16" s="198"/>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row>
    <row r="17" spans="4:83" s="196" customFormat="1" ht="72.75" customHeight="1" x14ac:dyDescent="0.25">
      <c r="D17" s="614"/>
      <c r="E17" s="614"/>
      <c r="F17" s="614"/>
      <c r="G17" s="614"/>
      <c r="H17" s="614"/>
      <c r="I17" s="214" t="s">
        <v>401</v>
      </c>
      <c r="J17" s="617"/>
      <c r="K17" s="227"/>
      <c r="L17" s="198"/>
      <c r="M17" s="227"/>
      <c r="N17" s="617"/>
      <c r="O17" s="617"/>
      <c r="P17" s="617"/>
      <c r="Q17" s="630"/>
      <c r="R17" s="617"/>
      <c r="S17" s="624"/>
      <c r="T17" s="627"/>
      <c r="U17" s="633"/>
      <c r="V17" s="627"/>
      <c r="W17" s="621"/>
      <c r="X17" s="627"/>
      <c r="Y17" s="624"/>
      <c r="Z17" s="619">
        <v>3</v>
      </c>
      <c r="AA17" s="214" t="s">
        <v>463</v>
      </c>
      <c r="AB17" s="198" t="s">
        <v>407</v>
      </c>
      <c r="AC17" s="202" t="str">
        <f t="shared" si="3"/>
        <v>Probabilidad</v>
      </c>
      <c r="AD17" s="221" t="s">
        <v>14</v>
      </c>
      <c r="AE17" s="221" t="s">
        <v>9</v>
      </c>
      <c r="AF17" s="200" t="str">
        <f t="shared" si="4"/>
        <v>40%</v>
      </c>
      <c r="AG17" s="221" t="s">
        <v>19</v>
      </c>
      <c r="AH17" s="221" t="s">
        <v>22</v>
      </c>
      <c r="AI17" s="221" t="s">
        <v>118</v>
      </c>
      <c r="AJ17" s="216" t="s">
        <v>409</v>
      </c>
      <c r="AK17" s="215">
        <f t="shared" ref="AK17:AK18" si="9">IFERROR(IF(AND(AC16="Probabilidad",AC17="Probabilidad"),(AM16-(+AM16*AF17)),IF(AC17="Probabilidad",(U16-(+U16*AC17)),IF(AC17="Impacto",AM16,""))),"")</f>
        <v>0.17279999999999998</v>
      </c>
      <c r="AL17" s="204" t="str">
        <f t="shared" si="5"/>
        <v>Muy Baja</v>
      </c>
      <c r="AM17" s="200">
        <f t="shared" si="6"/>
        <v>0.17279999999999998</v>
      </c>
      <c r="AN17" s="204" t="str">
        <f t="shared" ref="AN17" si="10">IFERROR(IF(AO17="","",IF(AO17&lt;=0.2,"Leve",IF(AO17&lt;=0.4,"Menor",IF(AO17&lt;=0.6,"Moderado",IF(AO17&lt;=0.8,"Mayor","Catastrófico"))))),"")</f>
        <v>Catastrófico</v>
      </c>
      <c r="AO17" s="200">
        <f>IFERROR(IF(AC17="Impacto",(X15-(+X15*AF17)),IF(AC17="Probabilidad",X15,"")),"")</f>
        <v>1</v>
      </c>
      <c r="AP17" s="204" t="str">
        <f t="shared" ref="AP17" si="11">IFERROR(IF(OR(AND(AL17="Muy Baja",AN17="Leve"),AND(AL17="Muy Baja",AN17="Menor"),AND(AL17="Baja",AN17="Leve")),"Bajo",IF(OR(AND(AL17="Muy baja",AN17="Moderado"),AND(AL17="Baja",AN17="Menor"),AND(AL17="Baja",AN17="Moderado"),AND(AL17="Media",AN17="Leve"),AND(AL17="Media",AN17="Menor"),AND(AL17="Media",AN17="Moderado"),AND(AL17="Alta",AN17="Leve"),AND(AL17="Alta",AN17="Menor")),"Moderado",IF(OR(AND(AL17="Muy Baja",AN17="Mayor"),AND(AL17="Baja",AN17="Mayor"),AND(AL17="Media",AN17="Mayor"),AND(AL17="Alta",AN17="Moderado"),AND(AL17="Alta",AN17="Mayor"),AND(AL17="Muy Alta",AN17="Leve"),AND(AL17="Muy Alta",AN17="Menor"),AND(AL17="Muy Alta",AN17="Moderado"),AND(AL17="Muy Alta",AN17="Mayor")),"Alto",IF(OR(AND(AL17="Muy Baja",AN17="Catastrófico"),AND(AL17="Baja",AN17="Catastrófico"),AND(AL17="Media",AN17="Catastrófico"),AND(AL17="Alta",AN17="Catastrófico"),AND(AL17="Muy Alta",AN17="Catastrófico")),"Extremo","")))),"")</f>
        <v>Extremo</v>
      </c>
      <c r="AQ17" s="203" t="s">
        <v>134</v>
      </c>
      <c r="AR17" s="647"/>
      <c r="AS17" s="163" t="s">
        <v>438</v>
      </c>
      <c r="AT17" s="651"/>
      <c r="AU17" s="652"/>
      <c r="AV17" s="205"/>
      <c r="AW17" s="198"/>
      <c r="AX17" s="198"/>
      <c r="AY17" s="205"/>
      <c r="AZ17" s="198"/>
      <c r="BA17" s="198"/>
      <c r="BB17" s="198"/>
      <c r="BC17" s="205"/>
      <c r="BD17" s="198"/>
      <c r="BE17" s="198"/>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row>
    <row r="18" spans="4:83" s="196" customFormat="1" ht="72.75" customHeight="1" x14ac:dyDescent="0.25">
      <c r="D18" s="614"/>
      <c r="E18" s="284"/>
      <c r="F18" s="284"/>
      <c r="G18" s="284"/>
      <c r="H18" s="284"/>
      <c r="I18" s="615" t="s">
        <v>402</v>
      </c>
      <c r="J18" s="618"/>
      <c r="K18" s="227"/>
      <c r="L18" s="198"/>
      <c r="M18" s="227"/>
      <c r="N18" s="618"/>
      <c r="O18" s="618"/>
      <c r="P18" s="618"/>
      <c r="Q18" s="631"/>
      <c r="R18" s="618"/>
      <c r="S18" s="625"/>
      <c r="T18" s="628"/>
      <c r="U18" s="634"/>
      <c r="V18" s="628"/>
      <c r="W18" s="622"/>
      <c r="X18" s="628"/>
      <c r="Y18" s="625"/>
      <c r="Z18" s="619">
        <v>4</v>
      </c>
      <c r="AA18" s="214" t="s">
        <v>462</v>
      </c>
      <c r="AB18" s="198" t="s">
        <v>408</v>
      </c>
      <c r="AC18" s="202" t="str">
        <f t="shared" si="3"/>
        <v>Probabilidad</v>
      </c>
      <c r="AD18" s="221" t="s">
        <v>14</v>
      </c>
      <c r="AE18" s="221" t="s">
        <v>9</v>
      </c>
      <c r="AF18" s="200" t="str">
        <f t="shared" si="4"/>
        <v>40%</v>
      </c>
      <c r="AG18" s="221" t="s">
        <v>19</v>
      </c>
      <c r="AH18" s="221" t="s">
        <v>22</v>
      </c>
      <c r="AI18" s="221" t="s">
        <v>118</v>
      </c>
      <c r="AJ18" s="216" t="s">
        <v>409</v>
      </c>
      <c r="AK18" s="215">
        <f t="shared" si="9"/>
        <v>0.10367999999999998</v>
      </c>
      <c r="AL18" s="204" t="str">
        <f t="shared" si="5"/>
        <v>Muy Baja</v>
      </c>
      <c r="AM18" s="200">
        <f t="shared" si="6"/>
        <v>0.10367999999999998</v>
      </c>
      <c r="AN18" s="204" t="str">
        <f t="shared" si="7"/>
        <v>Catastrófico</v>
      </c>
      <c r="AO18" s="200">
        <f>IFERROR(IF(AC18="Impacto",(X15-(+X15*AF18)),IF(AC18="Probabilidad",X15,"")),"")</f>
        <v>1</v>
      </c>
      <c r="AP18" s="204" t="str">
        <f t="shared" si="8"/>
        <v>Extremo</v>
      </c>
      <c r="AQ18" s="203" t="s">
        <v>134</v>
      </c>
      <c r="AR18" s="648"/>
      <c r="AS18" s="163" t="s">
        <v>439</v>
      </c>
      <c r="AT18" s="651"/>
      <c r="AU18" s="652"/>
      <c r="AV18" s="205"/>
      <c r="AW18" s="198"/>
      <c r="AX18" s="198"/>
      <c r="AY18" s="205"/>
      <c r="AZ18" s="198"/>
      <c r="BA18" s="198"/>
      <c r="BB18" s="198"/>
      <c r="BC18" s="205"/>
      <c r="BD18" s="198"/>
      <c r="BE18" s="198"/>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row>
    <row r="19" spans="4:83" s="196" customFormat="1" ht="270" customHeight="1" x14ac:dyDescent="0.25">
      <c r="D19" s="636">
        <v>2</v>
      </c>
      <c r="E19" s="213" t="s">
        <v>220</v>
      </c>
      <c r="F19" s="213" t="s">
        <v>132</v>
      </c>
      <c r="G19" s="213" t="s">
        <v>313</v>
      </c>
      <c r="H19" s="197" t="s">
        <v>225</v>
      </c>
      <c r="I19" s="637" t="s">
        <v>461</v>
      </c>
      <c r="J19" s="638" t="s">
        <v>412</v>
      </c>
      <c r="K19" s="227"/>
      <c r="L19" s="198"/>
      <c r="M19" s="227"/>
      <c r="N19" s="638" t="s">
        <v>413</v>
      </c>
      <c r="O19" s="198" t="s">
        <v>125</v>
      </c>
      <c r="P19" s="216" t="s">
        <v>425</v>
      </c>
      <c r="Q19" s="645" t="s">
        <v>238</v>
      </c>
      <c r="R19" s="216">
        <v>500</v>
      </c>
      <c r="S19" s="199" t="str">
        <f t="shared" ref="S19:S24" si="12">IF(R19&lt;=0,"",IF(R19&lt;=2,"Muy Baja",IF(R19&lt;=24,"Baja",IF(R19&lt;=500,"Media",IF(R19&lt;=5000,"Alta","Muy Alta")))))</f>
        <v>Media</v>
      </c>
      <c r="T19" s="200">
        <f t="shared" ref="T19:T24" si="13">IF(S19="","",IF(S19="Muy Baja",0.2,IF(S19="Baja",0.4,IF(S19="Media",0.6,IF(S19="Alta",0.8,IF(S19="Muy Alta",1,))))))</f>
        <v>0.6</v>
      </c>
      <c r="U19" s="201" t="s">
        <v>152</v>
      </c>
      <c r="V19" s="229" t="str">
        <f>IF(NOT(ISERROR(MATCH(U19,'[2]Tabla Impacto'!$B$221:$B$223,0))),'[2]Tabla Impacto'!$F$223&amp;"Por favor no seleccionar los criterios de impacto(Afectación Económica o presupuestal y Pérdida Reputacional)",U19)</f>
        <v xml:space="preserve">     El riesgo afecta la imagen de de la entidad con efecto publicitario sostenido a nivel de sector administrativo, nivel departamental o municipal</v>
      </c>
      <c r="W19" s="218" t="str">
        <f>IF(OR(V19='[3]Tabla Impacto'!$C$11,V19='[3]Tabla Impacto'!$D$11),"Leve",IF(OR(V19='[3]Tabla Impacto'!$C$12,V19='[3]Tabla Impacto'!$D$12),"Menor",IF(OR(V19='[3]Tabla Impacto'!$C$13,V19='[3]Tabla Impacto'!$D$13),"Moderado",IF(OR(V19='[3]Tabla Impacto'!$C$14,V19='[3]Tabla Impacto'!$D$14),"Mayor",IF(OR(V19='[3]Tabla Impacto'!$C$15,V19='[3]Tabla Impacto'!$D$15),"Catastrófico","")))))</f>
        <v>Mayor</v>
      </c>
      <c r="X19" s="200">
        <f t="shared" ref="X19:X24" si="14">IF(W19="","",IF(W19="Leve",0.2,IF(W19="Menor",0.4,IF(W19="Moderado",0.6,IF(W19="Mayor",0.8,IF(W19="Catastrófico",1,))))))</f>
        <v>0.8</v>
      </c>
      <c r="Y19" s="199" t="str">
        <f t="shared" ref="Y19:Y24" si="15">IF(OR(AND(S19="Muy Baja",W19="Leve"),AND(S19="Muy Baja",W19="Menor"),AND(S19="Baja",W19="Leve")),"Bajo",IF(OR(AND(S19="Muy baja",W19="Moderado"),AND(S19="Baja",W19="Menor"),AND(S19="Baja",W19="Moderado"),AND(S19="Media",W19="Leve"),AND(S19="Media",W19="Menor"),AND(S19="Media",W19="Moderado"),AND(S19="Alta",W19="Leve"),AND(S19="Alta",W19="Menor")),"Moderado",IF(OR(AND(S19="Muy Baja",W19="Mayor"),AND(S19="Baja",W19="Mayor"),AND(S19="Media",W19="Mayor"),AND(S19="Alta",W19="Moderado"),AND(S19="Alta",W19="Mayor"),AND(S19="Muy Alta",W19="Leve"),AND(S19="Muy Alta",W19="Menor"),AND(S19="Muy Alta",W19="Moderado"),AND(S19="Muy Alta",W19="Mayor")),"Alto",IF(OR(AND(S19="Muy Baja",W19="Catastrófico"),AND(S19="Baja",W19="Catastrófico"),AND(S19="Media",W19="Catastrófico"),AND(S19="Alta",W19="Catastrófico"),AND(S19="Muy Alta",W19="Catastrófico")),"Extremo",""))))</f>
        <v>Alto</v>
      </c>
      <c r="Z19" s="619">
        <v>1</v>
      </c>
      <c r="AA19" s="214" t="s">
        <v>460</v>
      </c>
      <c r="AB19" s="644" t="s">
        <v>430</v>
      </c>
      <c r="AC19" s="202" t="str">
        <f t="shared" si="3"/>
        <v>Probabilidad</v>
      </c>
      <c r="AD19" s="203" t="s">
        <v>14</v>
      </c>
      <c r="AE19" s="203" t="s">
        <v>9</v>
      </c>
      <c r="AF19" s="200" t="str">
        <f t="shared" si="4"/>
        <v>40%</v>
      </c>
      <c r="AG19" s="203" t="s">
        <v>19</v>
      </c>
      <c r="AH19" s="203" t="s">
        <v>23</v>
      </c>
      <c r="AI19" s="203" t="s">
        <v>118</v>
      </c>
      <c r="AJ19" s="216" t="s">
        <v>409</v>
      </c>
      <c r="AK19" s="635">
        <f t="shared" ref="AK19:AK20" si="16">IFERROR(IF(AC19="Probabilidad",(T19-(+T19*AF19)),IF(AC19="Impacto",T19,"")),"")</f>
        <v>0.36</v>
      </c>
      <c r="AL19" s="204" t="str">
        <f t="shared" si="5"/>
        <v>Baja</v>
      </c>
      <c r="AM19" s="200">
        <f t="shared" si="6"/>
        <v>0.36</v>
      </c>
      <c r="AN19" s="204" t="str">
        <f t="shared" si="7"/>
        <v>Mayor</v>
      </c>
      <c r="AO19" s="200">
        <f t="shared" ref="AO16:AO24" si="17">IFERROR(IF(AC19="Impacto",(X19-(+X19*AF19)),IF(AC19="Probabilidad",X19,"")),"")</f>
        <v>0.8</v>
      </c>
      <c r="AP19" s="204" t="str">
        <f t="shared" si="8"/>
        <v>Alto</v>
      </c>
      <c r="AQ19" s="203" t="s">
        <v>134</v>
      </c>
      <c r="AR19" s="649" t="s">
        <v>440</v>
      </c>
      <c r="AS19" s="649" t="s">
        <v>441</v>
      </c>
      <c r="AT19" s="650" t="s">
        <v>449</v>
      </c>
      <c r="AU19" s="205">
        <v>45687</v>
      </c>
      <c r="AV19" s="205"/>
      <c r="AW19" s="198"/>
      <c r="AX19" s="198"/>
      <c r="AY19" s="205"/>
      <c r="AZ19" s="198"/>
      <c r="BA19" s="198"/>
      <c r="BB19" s="198"/>
      <c r="BC19" s="205"/>
      <c r="BD19" s="198"/>
      <c r="BE19" s="198"/>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row>
    <row r="20" spans="4:83" s="196" customFormat="1" ht="279" customHeight="1" x14ac:dyDescent="0.25">
      <c r="D20" s="619">
        <v>3</v>
      </c>
      <c r="E20" s="213" t="s">
        <v>220</v>
      </c>
      <c r="F20" s="213" t="s">
        <v>132</v>
      </c>
      <c r="G20" s="213" t="s">
        <v>313</v>
      </c>
      <c r="H20" s="197" t="s">
        <v>229</v>
      </c>
      <c r="I20" s="214" t="s">
        <v>414</v>
      </c>
      <c r="J20" s="198" t="s">
        <v>415</v>
      </c>
      <c r="K20" s="223"/>
      <c r="L20" s="198"/>
      <c r="M20" s="223"/>
      <c r="N20" s="216" t="s">
        <v>416</v>
      </c>
      <c r="O20" s="198" t="s">
        <v>125</v>
      </c>
      <c r="P20" s="216" t="s">
        <v>426</v>
      </c>
      <c r="Q20" s="645" t="s">
        <v>236</v>
      </c>
      <c r="R20" s="198">
        <v>50000</v>
      </c>
      <c r="S20" s="199" t="str">
        <f t="shared" si="12"/>
        <v>Muy Alta</v>
      </c>
      <c r="T20" s="200">
        <f t="shared" si="13"/>
        <v>1</v>
      </c>
      <c r="U20" s="201" t="s">
        <v>152</v>
      </c>
      <c r="V20" s="229" t="str">
        <f>IF(NOT(ISERROR(MATCH(U20,'[2]Tabla Impacto'!$B$221:$B$223,0))),'[2]Tabla Impacto'!$F$223&amp;"Por favor no seleccionar los criterios de impacto(Afectación Económica o presupuestal y Pérdida Reputacional)",U20)</f>
        <v xml:space="preserve">     El riesgo afecta la imagen de de la entidad con efecto publicitario sostenido a nivel de sector administrativo, nivel departamental o municipal</v>
      </c>
      <c r="W20" s="218" t="str">
        <f>IF(OR(V20='[3]Tabla Impacto'!$C$11,V20='[3]Tabla Impacto'!$D$11),"Leve",IF(OR(V20='[3]Tabla Impacto'!$C$12,V20='[3]Tabla Impacto'!$D$12),"Menor",IF(OR(V20='[3]Tabla Impacto'!$C$13,V20='[3]Tabla Impacto'!$D$13),"Moderado",IF(OR(V20='[3]Tabla Impacto'!$C$14,V20='[3]Tabla Impacto'!$D$14),"Mayor",IF(OR(V20='[3]Tabla Impacto'!$C$15,V20='[3]Tabla Impacto'!$D$15),"Catastrófico","")))))</f>
        <v>Mayor</v>
      </c>
      <c r="X20" s="200">
        <f t="shared" si="14"/>
        <v>0.8</v>
      </c>
      <c r="Y20" s="199" t="str">
        <f t="shared" si="15"/>
        <v>Alto</v>
      </c>
      <c r="Z20" s="619">
        <v>1</v>
      </c>
      <c r="AA20" s="214" t="s">
        <v>459</v>
      </c>
      <c r="AB20" s="198" t="s">
        <v>431</v>
      </c>
      <c r="AC20" s="202" t="str">
        <f t="shared" si="3"/>
        <v>Probabilidad</v>
      </c>
      <c r="AD20" s="203" t="s">
        <v>14</v>
      </c>
      <c r="AE20" s="203" t="s">
        <v>9</v>
      </c>
      <c r="AF20" s="200" t="str">
        <f t="shared" si="4"/>
        <v>40%</v>
      </c>
      <c r="AG20" s="203" t="s">
        <v>19</v>
      </c>
      <c r="AH20" s="203" t="s">
        <v>23</v>
      </c>
      <c r="AI20" s="203" t="s">
        <v>118</v>
      </c>
      <c r="AJ20" s="216" t="s">
        <v>409</v>
      </c>
      <c r="AK20" s="635">
        <f t="shared" si="16"/>
        <v>0.6</v>
      </c>
      <c r="AL20" s="204" t="str">
        <f t="shared" si="5"/>
        <v>Media</v>
      </c>
      <c r="AM20" s="200">
        <f t="shared" si="6"/>
        <v>0.6</v>
      </c>
      <c r="AN20" s="204" t="str">
        <f t="shared" si="7"/>
        <v>Mayor</v>
      </c>
      <c r="AO20" s="200">
        <f t="shared" si="17"/>
        <v>0.8</v>
      </c>
      <c r="AP20" s="204" t="str">
        <f t="shared" si="8"/>
        <v>Alto</v>
      </c>
      <c r="AQ20" s="203" t="s">
        <v>134</v>
      </c>
      <c r="AR20" s="163" t="s">
        <v>442</v>
      </c>
      <c r="AS20" s="163" t="s">
        <v>443</v>
      </c>
      <c r="AT20" s="650" t="s">
        <v>449</v>
      </c>
      <c r="AU20" s="205">
        <v>45687</v>
      </c>
      <c r="AV20" s="205"/>
      <c r="AW20" s="198"/>
      <c r="AX20" s="198"/>
      <c r="AY20" s="205"/>
      <c r="AZ20" s="198"/>
      <c r="BA20" s="198"/>
      <c r="BB20" s="198"/>
      <c r="BC20" s="205"/>
      <c r="BD20" s="198"/>
      <c r="BE20" s="198"/>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row>
    <row r="21" spans="4:83" s="196" customFormat="1" ht="110.25" customHeight="1" x14ac:dyDescent="0.25">
      <c r="D21" s="283">
        <v>4</v>
      </c>
      <c r="E21" s="283" t="s">
        <v>220</v>
      </c>
      <c r="F21" s="283" t="s">
        <v>132</v>
      </c>
      <c r="G21" s="283" t="s">
        <v>313</v>
      </c>
      <c r="H21" s="283" t="s">
        <v>229</v>
      </c>
      <c r="I21" s="639" t="s">
        <v>417</v>
      </c>
      <c r="J21" s="616" t="s">
        <v>418</v>
      </c>
      <c r="K21" s="227"/>
      <c r="L21" s="198"/>
      <c r="M21" s="227"/>
      <c r="N21" s="640" t="s">
        <v>419</v>
      </c>
      <c r="O21" s="616" t="s">
        <v>125</v>
      </c>
      <c r="P21" s="616" t="s">
        <v>426</v>
      </c>
      <c r="Q21" s="629" t="s">
        <v>236</v>
      </c>
      <c r="R21" s="616">
        <v>5000</v>
      </c>
      <c r="S21" s="623" t="str">
        <f t="shared" ref="S21:S22" si="18">IF(R21&lt;=0,"",IF(R21&lt;=2,"Muy Baja",IF(R21&lt;=24,"Baja",IF(R21&lt;=500,"Media",IF(R21&lt;=5000,"Alta","Muy Alta")))))</f>
        <v>Alta</v>
      </c>
      <c r="T21" s="626">
        <f t="shared" ref="T21:T22" si="19">IF(S21="","",IF(S21="Muy Baja",0.2,IF(S21="Baja",0.4,IF(S21="Media",0.6,IF(S21="Alta",0.8,IF(S21="Muy Alta",1,))))))</f>
        <v>0.8</v>
      </c>
      <c r="U21" s="632" t="s">
        <v>153</v>
      </c>
      <c r="V21" s="626" t="str">
        <f>IF(NOT(ISERROR(MATCH(U21,'[2]Tabla Impacto'!$B$221:$B$223,0))),'[2]Tabla Impacto'!$F$223&amp;"Por favor no seleccionar los criterios de impacto(Afectación Económica o presupuestal y Pérdida Reputacional)",U21)</f>
        <v xml:space="preserve">     El riesgo afecta la imagen de la entidad a nivel nacional, con efecto publicitarios sostenible a nivel país</v>
      </c>
      <c r="W21" s="620" t="str">
        <f>IF(OR(V21='[3]Tabla Impacto'!$C$11,V21='[3]Tabla Impacto'!$D$11),"Leve",IF(OR(V21='[3]Tabla Impacto'!$C$12,V21='[3]Tabla Impacto'!$D$12),"Menor",IF(OR(V21='[3]Tabla Impacto'!$C$13,V21='[3]Tabla Impacto'!$D$13),"Moderado",IF(OR(V21='[3]Tabla Impacto'!$C$14,V21='[3]Tabla Impacto'!$D$14),"Mayor",IF(OR(V21='[3]Tabla Impacto'!$C$15,V21='[3]Tabla Impacto'!$D$15),"Catastrófico","")))))</f>
        <v>Catastrófico</v>
      </c>
      <c r="X21" s="626">
        <f t="shared" ref="X21:X22" si="20">IF(W21="","",IF(W21="Leve",0.2,IF(W21="Menor",0.4,IF(W21="Moderado",0.6,IF(W21="Mayor",0.8,IF(W21="Catastrófico",1,))))))</f>
        <v>1</v>
      </c>
      <c r="Y21" s="623" t="str">
        <f t="shared" ref="Y21:Y22" si="21">IF(OR(AND(S21="Muy Baja",W21="Leve"),AND(S21="Muy Baja",W21="Menor"),AND(S21="Baja",W21="Leve")),"Bajo",IF(OR(AND(S21="Muy baja",W21="Moderado"),AND(S21="Baja",W21="Menor"),AND(S21="Baja",W21="Moderado"),AND(S21="Media",W21="Leve"),AND(S21="Media",W21="Menor"),AND(S21="Media",W21="Moderado"),AND(S21="Alta",W21="Leve"),AND(S21="Alta",W21="Menor")),"Moderado",IF(OR(AND(S21="Muy Baja",W21="Mayor"),AND(S21="Baja",W21="Mayor"),AND(S21="Media",W21="Mayor"),AND(S21="Alta",W21="Moderado"),AND(S21="Alta",W21="Mayor"),AND(S21="Muy Alta",W21="Leve"),AND(S21="Muy Alta",W21="Menor"),AND(S21="Muy Alta",W21="Moderado"),AND(S21="Muy Alta",W21="Mayor")),"Alto",IF(OR(AND(S21="Muy Baja",W21="Catastrófico"),AND(S21="Baja",W21="Catastrófico"),AND(S21="Media",W21="Catastrófico"),AND(S21="Alta",W21="Catastrófico"),AND(S21="Muy Alta",W21="Catastrófico")),"Extremo",""))))</f>
        <v>Extremo</v>
      </c>
      <c r="Z21" s="619">
        <v>1</v>
      </c>
      <c r="AA21" s="615" t="s">
        <v>458</v>
      </c>
      <c r="AB21" s="616" t="s">
        <v>432</v>
      </c>
      <c r="AC21" s="202" t="str">
        <f t="shared" ref="AC21:AC22" si="22">IF(OR(AD21="Preventivo",AD21="Detectivo"),"Probabilidad",IF(AD21="Correctivo","Impacto",""))</f>
        <v>Probabilidad</v>
      </c>
      <c r="AD21" s="203" t="s">
        <v>14</v>
      </c>
      <c r="AE21" s="203" t="s">
        <v>9</v>
      </c>
      <c r="AF21" s="200" t="str">
        <f t="shared" ref="AF21:AF22" si="23">IF(AND(AD21="Preventivo",AE21="Automático"),"50%",IF(AND(AD21="Preventivo",AE21="Manual"),"40%",IF(AND(AD21="Detectivo",AE21="Automático"),"40%",IF(AND(AD21="Detectivo",AE21="Manual"),"30%",IF(AND(AD21="Correctivo",AE21="Automático"),"35%",IF(AND(AD21="Correctivo",AE21="Manual"),"25%",""))))))</f>
        <v>40%</v>
      </c>
      <c r="AG21" s="203" t="s">
        <v>19</v>
      </c>
      <c r="AH21" s="203" t="s">
        <v>22</v>
      </c>
      <c r="AI21" s="203" t="s">
        <v>118</v>
      </c>
      <c r="AJ21" s="216" t="s">
        <v>409</v>
      </c>
      <c r="AK21" s="635">
        <f>IFERROR(IF(AC21="Probabilidad",(T21-(+T21*AF21)),IF(AC21="Impacto",T21,"")),"")</f>
        <v>0.48</v>
      </c>
      <c r="AL21" s="204" t="str">
        <f t="shared" ref="AL21:AL22" si="24">IFERROR(IF(AK21="","",IF(AK21&lt;=0.2,"Muy Baja",IF(AK21&lt;=0.4,"Baja",IF(AK21&lt;=0.6,"Media",IF(AK21&lt;=0.8,"Alta","Muy Alta"))))),"")</f>
        <v>Media</v>
      </c>
      <c r="AM21" s="200">
        <f t="shared" ref="AM21:AM22" si="25">+AK21</f>
        <v>0.48</v>
      </c>
      <c r="AN21" s="204" t="str">
        <f t="shared" ref="AN21:AN22" si="26">IFERROR(IF(AO21="","",IF(AO21&lt;=0.2,"Leve",IF(AO21&lt;=0.4,"Menor",IF(AO21&lt;=0.6,"Moderado",IF(AO21&lt;=0.8,"Mayor","Catastrófico"))))),"")</f>
        <v>Catastrófico</v>
      </c>
      <c r="AO21" s="200">
        <f t="shared" ref="AO21:AO22" si="27">IFERROR(IF(AC21="Impacto",(X21-(+X21*AF21)),IF(AC21="Probabilidad",X21,"")),"")</f>
        <v>1</v>
      </c>
      <c r="AP21" s="204" t="str">
        <f t="shared" ref="AP21:AP22" si="28">IFERROR(IF(OR(AND(AL21="Muy Baja",AN21="Leve"),AND(AL21="Muy Baja",AN21="Menor"),AND(AL21="Baja",AN21="Leve")),"Bajo",IF(OR(AND(AL21="Muy baja",AN21="Moderado"),AND(AL21="Baja",AN21="Menor"),AND(AL21="Baja",AN21="Moderado"),AND(AL21="Media",AN21="Leve"),AND(AL21="Media",AN21="Menor"),AND(AL21="Media",AN21="Moderado"),AND(AL21="Alta",AN21="Leve"),AND(AL21="Alta",AN21="Menor")),"Moderado",IF(OR(AND(AL21="Muy Baja",AN21="Mayor"),AND(AL21="Baja",AN21="Mayor"),AND(AL21="Media",AN21="Mayor"),AND(AL21="Alta",AN21="Moderado"),AND(AL21="Alta",AN21="Mayor"),AND(AL21="Muy Alta",AN21="Leve"),AND(AL21="Muy Alta",AN21="Menor"),AND(AL21="Muy Alta",AN21="Moderado"),AND(AL21="Muy Alta",AN21="Mayor")),"Alto",IF(OR(AND(AL21="Muy Baja",AN21="Catastrófico"),AND(AL21="Baja",AN21="Catastrófico"),AND(AL21="Media",AN21="Catastrófico"),AND(AL21="Alta",AN21="Catastrófico"),AND(AL21="Muy Alta",AN21="Catastrófico")),"Extremo","")))),"")</f>
        <v>Extremo</v>
      </c>
      <c r="AQ21" s="203" t="s">
        <v>134</v>
      </c>
      <c r="AR21" s="646" t="s">
        <v>442</v>
      </c>
      <c r="AS21" s="163" t="s">
        <v>444</v>
      </c>
      <c r="AT21" s="651" t="s">
        <v>449</v>
      </c>
      <c r="AU21" s="205">
        <v>45687</v>
      </c>
      <c r="AV21" s="205"/>
      <c r="AW21" s="198"/>
      <c r="AX21" s="198"/>
      <c r="AY21" s="205"/>
      <c r="AZ21" s="198"/>
      <c r="BA21" s="198"/>
      <c r="BB21" s="198"/>
      <c r="BC21" s="205"/>
      <c r="BD21" s="198"/>
      <c r="BE21" s="198"/>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row>
    <row r="22" spans="4:83" s="196" customFormat="1" ht="110.25" customHeight="1" x14ac:dyDescent="0.25">
      <c r="D22" s="284"/>
      <c r="E22" s="284"/>
      <c r="F22" s="284"/>
      <c r="G22" s="284"/>
      <c r="H22" s="284"/>
      <c r="I22" s="641"/>
      <c r="J22" s="618"/>
      <c r="K22" s="227"/>
      <c r="L22" s="198"/>
      <c r="M22" s="227"/>
      <c r="N22" s="642"/>
      <c r="O22" s="618"/>
      <c r="P22" s="618"/>
      <c r="Q22" s="631"/>
      <c r="R22" s="618"/>
      <c r="S22" s="625"/>
      <c r="T22" s="628"/>
      <c r="U22" s="634"/>
      <c r="V22" s="628"/>
      <c r="W22" s="622"/>
      <c r="X22" s="628"/>
      <c r="Y22" s="625"/>
      <c r="Z22" s="619">
        <v>2</v>
      </c>
      <c r="AA22" s="615" t="s">
        <v>457</v>
      </c>
      <c r="AB22" s="618"/>
      <c r="AC22" s="202" t="str">
        <f t="shared" si="22"/>
        <v>Probabilidad</v>
      </c>
      <c r="AD22" s="203" t="s">
        <v>14</v>
      </c>
      <c r="AE22" s="203" t="s">
        <v>9</v>
      </c>
      <c r="AF22" s="200" t="str">
        <f t="shared" si="23"/>
        <v>40%</v>
      </c>
      <c r="AG22" s="203" t="s">
        <v>19</v>
      </c>
      <c r="AH22" s="203" t="s">
        <v>22</v>
      </c>
      <c r="AI22" s="203" t="s">
        <v>118</v>
      </c>
      <c r="AJ22" s="216" t="s">
        <v>409</v>
      </c>
      <c r="AK22" s="215">
        <f>IFERROR(IF(AND(AC21="Probabilidad",AC22="Probabilidad"),(AM21-(+AM21*AF22)),IF(AC22="Probabilidad",(U21-(+U21*AC22)),IF(AC22="Impacto",AM21,""))),"")</f>
        <v>0.28799999999999998</v>
      </c>
      <c r="AL22" s="204" t="str">
        <f t="shared" si="24"/>
        <v>Baja</v>
      </c>
      <c r="AM22" s="200">
        <f t="shared" si="25"/>
        <v>0.28799999999999998</v>
      </c>
      <c r="AN22" s="204" t="str">
        <f t="shared" si="26"/>
        <v>Leve</v>
      </c>
      <c r="AO22" s="200">
        <f t="shared" si="27"/>
        <v>0</v>
      </c>
      <c r="AP22" s="204" t="str">
        <f t="shared" si="28"/>
        <v>Bajo</v>
      </c>
      <c r="AQ22" s="203" t="s">
        <v>134</v>
      </c>
      <c r="AR22" s="648"/>
      <c r="AS22" s="163" t="s">
        <v>445</v>
      </c>
      <c r="AT22" s="651"/>
      <c r="AU22" s="205">
        <v>45687</v>
      </c>
      <c r="AV22" s="205"/>
      <c r="AW22" s="198"/>
      <c r="AX22" s="198"/>
      <c r="AY22" s="205"/>
      <c r="AZ22" s="198"/>
      <c r="BA22" s="198"/>
      <c r="BB22" s="198"/>
      <c r="BC22" s="205"/>
      <c r="BD22" s="198"/>
      <c r="BE22" s="198"/>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row>
    <row r="23" spans="4:83" s="196" customFormat="1" ht="224.25" customHeight="1" x14ac:dyDescent="0.25">
      <c r="D23" s="197">
        <v>5</v>
      </c>
      <c r="E23" s="213" t="s">
        <v>220</v>
      </c>
      <c r="F23" s="213" t="s">
        <v>132</v>
      </c>
      <c r="G23" s="213" t="s">
        <v>313</v>
      </c>
      <c r="H23" s="197" t="s">
        <v>229</v>
      </c>
      <c r="I23" s="214" t="s">
        <v>420</v>
      </c>
      <c r="J23" s="198" t="s">
        <v>415</v>
      </c>
      <c r="K23" s="223"/>
      <c r="L23" s="198"/>
      <c r="M23" s="223"/>
      <c r="N23" s="643" t="s">
        <v>421</v>
      </c>
      <c r="O23" s="198" t="s">
        <v>125</v>
      </c>
      <c r="P23" s="216" t="s">
        <v>427</v>
      </c>
      <c r="Q23" s="645" t="s">
        <v>238</v>
      </c>
      <c r="R23" s="198" t="s">
        <v>429</v>
      </c>
      <c r="S23" s="199" t="str">
        <f t="shared" si="12"/>
        <v>Muy Alta</v>
      </c>
      <c r="T23" s="200">
        <f t="shared" si="13"/>
        <v>1</v>
      </c>
      <c r="U23" s="201" t="s">
        <v>153</v>
      </c>
      <c r="V23" s="200" t="str">
        <f>IF(NOT(ISERROR(MATCH(U23,'[2]Tabla Impacto'!$B$221:$B$223,0))),'[2]Tabla Impacto'!$F$223&amp;"Por favor no seleccionar los criterios de impacto(Afectación Económica o presupuestal y Pérdida Reputacional)",U23)</f>
        <v xml:space="preserve">     El riesgo afecta la imagen de la entidad a nivel nacional, con efecto publicitarios sostenible a nivel país</v>
      </c>
      <c r="W23" s="218" t="str">
        <f>IF(OR(V23='[3]Tabla Impacto'!$C$11,V23='[3]Tabla Impacto'!$D$11),"Leve",IF(OR(V23='[3]Tabla Impacto'!$C$12,V23='[3]Tabla Impacto'!$D$12),"Menor",IF(OR(V23='[3]Tabla Impacto'!$C$13,V23='[3]Tabla Impacto'!$D$13),"Moderado",IF(OR(V23='[3]Tabla Impacto'!$C$14,V23='[3]Tabla Impacto'!$D$14),"Mayor",IF(OR(V23='[3]Tabla Impacto'!$C$15,V23='[3]Tabla Impacto'!$D$15),"Catastrófico","")))))</f>
        <v>Catastrófico</v>
      </c>
      <c r="X23" s="200">
        <f t="shared" si="14"/>
        <v>1</v>
      </c>
      <c r="Y23" s="199" t="str">
        <f t="shared" si="15"/>
        <v>Extremo</v>
      </c>
      <c r="Z23" s="619">
        <v>1</v>
      </c>
      <c r="AA23" s="615" t="s">
        <v>456</v>
      </c>
      <c r="AB23" s="198" t="s">
        <v>433</v>
      </c>
      <c r="AC23" s="202" t="str">
        <f t="shared" si="3"/>
        <v>Probabilidad</v>
      </c>
      <c r="AD23" s="203" t="s">
        <v>14</v>
      </c>
      <c r="AE23" s="203" t="s">
        <v>9</v>
      </c>
      <c r="AF23" s="200" t="str">
        <f t="shared" si="4"/>
        <v>40%</v>
      </c>
      <c r="AG23" s="203" t="s">
        <v>19</v>
      </c>
      <c r="AH23" s="203" t="s">
        <v>22</v>
      </c>
      <c r="AI23" s="203" t="s">
        <v>118</v>
      </c>
      <c r="AJ23" s="216" t="s">
        <v>409</v>
      </c>
      <c r="AK23" s="635">
        <f t="shared" ref="AK23:AK24" si="29">IFERROR(IF(AC23="Probabilidad",(T23-(+T23*AF23)),IF(AC23="Impacto",T23,"")),"")</f>
        <v>0.6</v>
      </c>
      <c r="AL23" s="204" t="str">
        <f t="shared" si="5"/>
        <v>Media</v>
      </c>
      <c r="AM23" s="200">
        <f t="shared" si="6"/>
        <v>0.6</v>
      </c>
      <c r="AN23" s="204" t="str">
        <f t="shared" si="7"/>
        <v>Catastrófico</v>
      </c>
      <c r="AO23" s="200">
        <f t="shared" si="17"/>
        <v>1</v>
      </c>
      <c r="AP23" s="204" t="str">
        <f t="shared" si="8"/>
        <v>Extremo</v>
      </c>
      <c r="AQ23" s="203" t="s">
        <v>32</v>
      </c>
      <c r="AR23" s="163" t="s">
        <v>442</v>
      </c>
      <c r="AS23" s="163" t="s">
        <v>446</v>
      </c>
      <c r="AT23" s="650" t="s">
        <v>449</v>
      </c>
      <c r="AU23" s="205">
        <v>45687</v>
      </c>
      <c r="AV23" s="205"/>
      <c r="AW23" s="198"/>
      <c r="AX23" s="198"/>
      <c r="AY23" s="205"/>
      <c r="AZ23" s="198"/>
      <c r="BA23" s="198"/>
      <c r="BB23" s="198"/>
      <c r="BC23" s="205"/>
      <c r="BD23" s="198"/>
      <c r="BE23" s="198"/>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row>
    <row r="24" spans="4:83" s="196" customFormat="1" ht="264.75" customHeight="1" x14ac:dyDescent="0.25">
      <c r="D24" s="197">
        <v>6</v>
      </c>
      <c r="E24" s="213" t="s">
        <v>220</v>
      </c>
      <c r="F24" s="213" t="s">
        <v>132</v>
      </c>
      <c r="G24" s="213" t="s">
        <v>313</v>
      </c>
      <c r="H24" s="197" t="s">
        <v>227</v>
      </c>
      <c r="I24" s="637" t="s">
        <v>422</v>
      </c>
      <c r="J24" s="644" t="s">
        <v>423</v>
      </c>
      <c r="K24" s="223"/>
      <c r="L24" s="198"/>
      <c r="M24" s="223"/>
      <c r="N24" s="644" t="s">
        <v>424</v>
      </c>
      <c r="O24" s="198" t="s">
        <v>122</v>
      </c>
      <c r="P24" s="198" t="s">
        <v>233</v>
      </c>
      <c r="Q24" s="228" t="s">
        <v>238</v>
      </c>
      <c r="R24" s="198">
        <v>2</v>
      </c>
      <c r="S24" s="199" t="str">
        <f t="shared" si="12"/>
        <v>Muy Baja</v>
      </c>
      <c r="T24" s="200">
        <f t="shared" si="13"/>
        <v>0.2</v>
      </c>
      <c r="U24" s="201" t="s">
        <v>149</v>
      </c>
      <c r="V24" s="200" t="str">
        <f>IF(NOT(ISERROR(MATCH(U24,'[2]Tabla Impacto'!$B$221:$B$223,0))),'[2]Tabla Impacto'!$F$223&amp;"Por favor no seleccionar los criterios de impacto(Afectación Económica o presupuestal y Pérdida Reputacional)",U24)</f>
        <v xml:space="preserve">     El riesgo afecta la imagen de alguna área de la organización</v>
      </c>
      <c r="W24" s="218" t="str">
        <f>IF(OR(V24='[3]Tabla Impacto'!$C$11,V24='[3]Tabla Impacto'!$D$11),"Leve",IF(OR(V24='[3]Tabla Impacto'!$C$12,V24='[3]Tabla Impacto'!$D$12),"Menor",IF(OR(V24='[3]Tabla Impacto'!$C$13,V24='[3]Tabla Impacto'!$D$13),"Moderado",IF(OR(V24='[3]Tabla Impacto'!$C$14,V24='[3]Tabla Impacto'!$D$14),"Mayor",IF(OR(V24='[3]Tabla Impacto'!$C$15,V24='[3]Tabla Impacto'!$D$15),"Catastrófico","")))))</f>
        <v>Leve</v>
      </c>
      <c r="X24" s="200">
        <f t="shared" si="14"/>
        <v>0.2</v>
      </c>
      <c r="Y24" s="199" t="str">
        <f t="shared" si="15"/>
        <v>Bajo</v>
      </c>
      <c r="Z24" s="619">
        <v>1</v>
      </c>
      <c r="AA24" s="214" t="s">
        <v>455</v>
      </c>
      <c r="AB24" s="644" t="s">
        <v>434</v>
      </c>
      <c r="AC24" s="202" t="str">
        <f t="shared" si="3"/>
        <v>Probabilidad</v>
      </c>
      <c r="AD24" s="203" t="s">
        <v>14</v>
      </c>
      <c r="AE24" s="203" t="s">
        <v>9</v>
      </c>
      <c r="AF24" s="200" t="str">
        <f t="shared" si="4"/>
        <v>40%</v>
      </c>
      <c r="AG24" s="203" t="s">
        <v>19</v>
      </c>
      <c r="AH24" s="203" t="s">
        <v>22</v>
      </c>
      <c r="AI24" s="203" t="s">
        <v>118</v>
      </c>
      <c r="AJ24" s="198" t="s">
        <v>409</v>
      </c>
      <c r="AK24" s="653">
        <f t="shared" si="29"/>
        <v>0.12</v>
      </c>
      <c r="AL24" s="204" t="str">
        <f t="shared" si="5"/>
        <v>Muy Baja</v>
      </c>
      <c r="AM24" s="200">
        <f t="shared" si="6"/>
        <v>0.12</v>
      </c>
      <c r="AN24" s="204" t="str">
        <f t="shared" si="7"/>
        <v>Leve</v>
      </c>
      <c r="AO24" s="200">
        <f t="shared" si="17"/>
        <v>0.2</v>
      </c>
      <c r="AP24" s="204" t="str">
        <f t="shared" si="8"/>
        <v>Bajo</v>
      </c>
      <c r="AQ24" s="203" t="s">
        <v>134</v>
      </c>
      <c r="AR24" s="649" t="s">
        <v>447</v>
      </c>
      <c r="AS24" s="649" t="s">
        <v>448</v>
      </c>
      <c r="AT24" s="650" t="s">
        <v>449</v>
      </c>
      <c r="AU24" s="205">
        <v>45687</v>
      </c>
      <c r="AV24" s="205"/>
      <c r="AW24" s="198"/>
      <c r="AX24" s="198"/>
      <c r="AY24" s="205"/>
      <c r="AZ24" s="198"/>
      <c r="BA24" s="198"/>
      <c r="BB24" s="198"/>
      <c r="BC24" s="205"/>
      <c r="BD24" s="198"/>
      <c r="BE24" s="198"/>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row>
    <row r="25" spans="4:83" ht="49.5" customHeight="1" x14ac:dyDescent="0.2">
      <c r="D25" s="207"/>
      <c r="E25" s="208"/>
      <c r="F25" s="208"/>
      <c r="G25" s="208"/>
      <c r="H25" s="208"/>
      <c r="I25" s="232"/>
      <c r="J25" s="232"/>
      <c r="K25" s="655" t="s">
        <v>392</v>
      </c>
      <c r="L25" s="655"/>
      <c r="M25" s="655"/>
      <c r="N25" s="655"/>
      <c r="O25" s="655"/>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6"/>
    </row>
    <row r="27" spans="4:83" ht="15.75" x14ac:dyDescent="0.2">
      <c r="D27" s="109"/>
      <c r="E27" s="110"/>
      <c r="F27" s="110"/>
      <c r="G27" s="110"/>
      <c r="H27" s="110"/>
      <c r="I27" s="110"/>
      <c r="J27" s="110"/>
      <c r="K27" s="110"/>
      <c r="L27" s="110"/>
      <c r="M27" s="110"/>
      <c r="N27" s="110"/>
      <c r="O27" s="179"/>
      <c r="P27" s="179"/>
      <c r="Q27" s="179"/>
      <c r="S27" s="111"/>
      <c r="T27" s="110"/>
      <c r="U27" s="110"/>
      <c r="V27" s="110"/>
      <c r="W27" s="110"/>
      <c r="X27" s="110"/>
      <c r="Y27" s="110"/>
      <c r="Z27" s="110"/>
      <c r="AA27" s="110"/>
      <c r="AB27" s="110"/>
      <c r="AC27" s="112"/>
      <c r="AD27" s="112"/>
      <c r="AE27" s="110"/>
      <c r="AF27" s="110"/>
      <c r="AG27" s="110"/>
      <c r="AH27" s="110"/>
      <c r="AI27" s="110"/>
      <c r="AJ27" s="110"/>
      <c r="AK27" s="110"/>
      <c r="AL27" s="110"/>
      <c r="AM27" s="110"/>
      <c r="AN27" s="110"/>
      <c r="AO27" s="110"/>
      <c r="AP27" s="110"/>
      <c r="AQ27" s="113"/>
      <c r="AR27" s="113"/>
      <c r="AS27" s="113"/>
      <c r="AT27" s="110"/>
      <c r="AU27" s="110"/>
      <c r="AV27" s="110"/>
      <c r="AW27" s="110"/>
      <c r="AX27" s="110"/>
      <c r="AY27" s="110"/>
      <c r="AZ27" s="110"/>
    </row>
    <row r="28" spans="4:83" ht="18" x14ac:dyDescent="0.2">
      <c r="D28" s="344" t="s">
        <v>454</v>
      </c>
      <c r="E28" s="344"/>
      <c r="F28" s="344"/>
      <c r="G28" s="344"/>
      <c r="H28" s="344"/>
      <c r="I28" s="344"/>
      <c r="J28" s="344"/>
      <c r="K28" s="344"/>
      <c r="L28" s="344"/>
      <c r="M28" s="344"/>
      <c r="N28" s="344"/>
      <c r="O28" s="179"/>
      <c r="P28" s="179"/>
      <c r="Q28" s="179"/>
      <c r="R28" s="340" t="s">
        <v>390</v>
      </c>
      <c r="S28" s="341"/>
      <c r="T28" s="341"/>
      <c r="U28" s="342"/>
      <c r="V28" s="110"/>
      <c r="W28" s="110"/>
      <c r="X28" s="110"/>
      <c r="Y28" s="110"/>
      <c r="Z28" s="110"/>
      <c r="AA28" s="110"/>
      <c r="AB28" s="113"/>
      <c r="AC28" s="112"/>
      <c r="AD28" s="112"/>
      <c r="AE28" s="110"/>
      <c r="AF28" s="112"/>
      <c r="AG28" s="112"/>
      <c r="AH28" s="110"/>
      <c r="AI28" s="110"/>
      <c r="AJ28" s="110"/>
      <c r="AK28" s="110"/>
      <c r="AL28" s="110"/>
      <c r="AM28" s="110"/>
      <c r="AN28" s="110"/>
      <c r="AO28" s="110"/>
      <c r="AP28" s="110"/>
      <c r="AQ28" s="110"/>
      <c r="AR28" s="110"/>
      <c r="AS28" s="110"/>
      <c r="AT28" s="110"/>
      <c r="AU28" s="110"/>
      <c r="AV28" s="110"/>
      <c r="AW28" s="110"/>
      <c r="AX28" s="110"/>
      <c r="AY28" s="110"/>
      <c r="AZ28" s="110"/>
    </row>
    <row r="29" spans="4:83" ht="15" thickBot="1" x14ac:dyDescent="0.25">
      <c r="D29" s="179"/>
      <c r="E29" s="179"/>
      <c r="F29" s="179"/>
      <c r="G29" s="179"/>
      <c r="H29" s="179"/>
      <c r="I29" s="179"/>
      <c r="J29" s="179"/>
      <c r="K29" s="179"/>
      <c r="L29" s="179"/>
      <c r="M29" s="179"/>
      <c r="O29" s="179"/>
      <c r="P29" s="179"/>
      <c r="Q29" s="179"/>
      <c r="S29" s="181" t="str">
        <f>+IFERROR(VLOOKUP(O29,$O$184:$S$188,3,FALSE)*VLOOKUP(R29,$R$184:$S$188,3,FALSE),"")</f>
        <v/>
      </c>
      <c r="AC29" s="181"/>
      <c r="AD29" s="209"/>
      <c r="AF29" s="209"/>
      <c r="AG29" s="209"/>
      <c r="AH29" s="210"/>
      <c r="AI29" s="210"/>
      <c r="AJ29" s="210"/>
      <c r="AK29" s="210"/>
      <c r="AL29" s="210"/>
      <c r="AM29" s="114"/>
      <c r="AN29" s="114"/>
      <c r="AO29" s="210"/>
      <c r="AP29" s="211"/>
      <c r="AU29" s="210"/>
      <c r="AW29" s="210"/>
      <c r="AY29" s="210"/>
    </row>
    <row r="30" spans="4:83" ht="17.45" customHeight="1" thickTop="1" thickBot="1" x14ac:dyDescent="0.25">
      <c r="D30" s="339" t="s">
        <v>207</v>
      </c>
      <c r="E30" s="339"/>
      <c r="F30" s="339"/>
      <c r="G30" s="339"/>
      <c r="H30" s="339"/>
      <c r="I30" s="339"/>
      <c r="J30" s="339"/>
      <c r="K30" s="339"/>
      <c r="L30" s="339"/>
      <c r="M30" s="339"/>
      <c r="N30" s="178" t="s">
        <v>208</v>
      </c>
      <c r="O30" s="339" t="s">
        <v>209</v>
      </c>
      <c r="P30" s="339"/>
      <c r="Q30" s="339"/>
      <c r="R30" s="339"/>
      <c r="S30" s="339"/>
      <c r="T30" s="339"/>
      <c r="U30" s="339"/>
      <c r="V30" s="118"/>
      <c r="W30" s="343" t="s">
        <v>210</v>
      </c>
      <c r="X30" s="343"/>
      <c r="Y30" s="343"/>
      <c r="Z30" s="339" t="s">
        <v>211</v>
      </c>
      <c r="AA30" s="339"/>
      <c r="AB30" s="339"/>
      <c r="AC30" s="339"/>
      <c r="AD30" s="343">
        <v>1</v>
      </c>
      <c r="AE30" s="343"/>
      <c r="AF30" s="343"/>
      <c r="AG30" s="343"/>
      <c r="AH30" s="117"/>
      <c r="AI30" s="117"/>
      <c r="AJ30" s="117"/>
      <c r="AK30" s="117"/>
      <c r="AL30" s="117"/>
      <c r="AM30" s="117"/>
      <c r="AN30" s="117"/>
      <c r="AO30" s="117"/>
      <c r="AP30" s="117"/>
      <c r="AQ30" s="117"/>
      <c r="AR30" s="117"/>
      <c r="AS30" s="117"/>
      <c r="AT30" s="117"/>
      <c r="AU30" s="117"/>
      <c r="AV30" s="117"/>
      <c r="AW30" s="117"/>
      <c r="AX30" s="117"/>
      <c r="AY30" s="117"/>
      <c r="AZ30" s="115"/>
    </row>
    <row r="31" spans="4:83" ht="36.75" customHeight="1" thickTop="1" x14ac:dyDescent="0.25">
      <c r="D31" s="287" t="s">
        <v>393</v>
      </c>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row>
  </sheetData>
  <autoFilter ref="A11:BE25" xr:uid="{00000000-0001-0000-0100-000000000000}">
    <filterColumn colId="0" showButton="0"/>
    <filterColumn colId="1"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50" showButton="0"/>
    <filterColumn colId="51" showButton="0"/>
    <filterColumn colId="52" showButton="0"/>
    <filterColumn colId="54" showButton="0"/>
    <filterColumn colId="55" showButton="0"/>
  </autoFilter>
  <dataConsolidate/>
  <mergeCells count="116">
    <mergeCell ref="AR15:AR18"/>
    <mergeCell ref="AR21:AR22"/>
    <mergeCell ref="AT15:AT18"/>
    <mergeCell ref="AT21:AT22"/>
    <mergeCell ref="AU15:AU18"/>
    <mergeCell ref="W21:W22"/>
    <mergeCell ref="Y21:Y22"/>
    <mergeCell ref="X21:X22"/>
    <mergeCell ref="AB21:AB22"/>
    <mergeCell ref="R21:R22"/>
    <mergeCell ref="S21:S22"/>
    <mergeCell ref="T21:T22"/>
    <mergeCell ref="U21:U22"/>
    <mergeCell ref="V21:V22"/>
    <mergeCell ref="O21:O22"/>
    <mergeCell ref="P21:P22"/>
    <mergeCell ref="Q21:Q22"/>
    <mergeCell ref="J21:J22"/>
    <mergeCell ref="N21:N22"/>
    <mergeCell ref="E21:E22"/>
    <mergeCell ref="F21:F22"/>
    <mergeCell ref="G21:G22"/>
    <mergeCell ref="H21:H22"/>
    <mergeCell ref="E15:E18"/>
    <mergeCell ref="F15:F18"/>
    <mergeCell ref="G15:G18"/>
    <mergeCell ref="H15:H18"/>
    <mergeCell ref="I21:I22"/>
    <mergeCell ref="J15:J18"/>
    <mergeCell ref="N15:N18"/>
    <mergeCell ref="R15:R18"/>
    <mergeCell ref="W15:W18"/>
    <mergeCell ref="Y15:Y18"/>
    <mergeCell ref="X15:X18"/>
    <mergeCell ref="S15:S18"/>
    <mergeCell ref="T15:T18"/>
    <mergeCell ref="O15:O18"/>
    <mergeCell ref="P15:P18"/>
    <mergeCell ref="Q15:Q18"/>
    <mergeCell ref="U15:U18"/>
    <mergeCell ref="V15:V18"/>
    <mergeCell ref="D2:H5"/>
    <mergeCell ref="K2:BC5"/>
    <mergeCell ref="H7:BE7"/>
    <mergeCell ref="AQ13:AQ14"/>
    <mergeCell ref="AP13:AP14"/>
    <mergeCell ref="AO13:AO14"/>
    <mergeCell ref="AK13:AK14"/>
    <mergeCell ref="AB13:AB14"/>
    <mergeCell ref="O13:O14"/>
    <mergeCell ref="D12:R12"/>
    <mergeCell ref="S12:Y12"/>
    <mergeCell ref="N13:N14"/>
    <mergeCell ref="M13:M14"/>
    <mergeCell ref="K13:K14"/>
    <mergeCell ref="U13:U14"/>
    <mergeCell ref="V13:V14"/>
    <mergeCell ref="D7:G7"/>
    <mergeCell ref="Y13:Y14"/>
    <mergeCell ref="AX13:AX14"/>
    <mergeCell ref="AW13:AW14"/>
    <mergeCell ref="AV13:AV14"/>
    <mergeCell ref="AU13:AU14"/>
    <mergeCell ref="AT13:AT14"/>
    <mergeCell ref="AN13:AN14"/>
    <mergeCell ref="AL13:AL14"/>
    <mergeCell ref="AM13:AM14"/>
    <mergeCell ref="R13:R14"/>
    <mergeCell ref="S13:S14"/>
    <mergeCell ref="T13:T14"/>
    <mergeCell ref="W13:W14"/>
    <mergeCell ref="AK12:AQ12"/>
    <mergeCell ref="AD13:AI13"/>
    <mergeCell ref="BD2:BE2"/>
    <mergeCell ref="BD3:BE3"/>
    <mergeCell ref="BD4:BE4"/>
    <mergeCell ref="BD5:BE5"/>
    <mergeCell ref="BB13:BB14"/>
    <mergeCell ref="AS12:BE12"/>
    <mergeCell ref="BD13:BD14"/>
    <mergeCell ref="BE13:BE14"/>
    <mergeCell ref="AY13:AY14"/>
    <mergeCell ref="AZ13:AZ14"/>
    <mergeCell ref="AS13:AS14"/>
    <mergeCell ref="BA13:BA14"/>
    <mergeCell ref="AJ12:AJ14"/>
    <mergeCell ref="A11:C11"/>
    <mergeCell ref="D8:G8"/>
    <mergeCell ref="D9:G9"/>
    <mergeCell ref="H9:BE9"/>
    <mergeCell ref="H8:BE8"/>
    <mergeCell ref="D13:D14"/>
    <mergeCell ref="D11:AX11"/>
    <mergeCell ref="AY11:BB11"/>
    <mergeCell ref="BC11:BE11"/>
    <mergeCell ref="BC13:BC14"/>
    <mergeCell ref="E13:E14"/>
    <mergeCell ref="AC13:AC14"/>
    <mergeCell ref="H13:H14"/>
    <mergeCell ref="X13:X14"/>
    <mergeCell ref="Z12:AI12"/>
    <mergeCell ref="D21:D22"/>
    <mergeCell ref="I13:J13"/>
    <mergeCell ref="D31:AG31"/>
    <mergeCell ref="P13:Q13"/>
    <mergeCell ref="D30:M30"/>
    <mergeCell ref="R28:U28"/>
    <mergeCell ref="O30:U30"/>
    <mergeCell ref="W30:Y30"/>
    <mergeCell ref="D28:N28"/>
    <mergeCell ref="Z30:AC30"/>
    <mergeCell ref="AD30:AG30"/>
    <mergeCell ref="Z13:Z14"/>
    <mergeCell ref="AA13:AA14"/>
    <mergeCell ref="K25:AX25"/>
    <mergeCell ref="D15:D18"/>
  </mergeCells>
  <conditionalFormatting sqref="AL15:AL24 S15 S19:S21 S23:S24">
    <cfRule type="cellIs" dxfId="25" priority="62" operator="equal">
      <formula>"Muy Alta"</formula>
    </cfRule>
    <cfRule type="cellIs" dxfId="24" priority="63" operator="equal">
      <formula>"Alta"</formula>
    </cfRule>
    <cfRule type="cellIs" dxfId="23" priority="64" operator="equal">
      <formula>"Media"</formula>
    </cfRule>
    <cfRule type="cellIs" dxfId="22" priority="65" operator="equal">
      <formula>"Baja"</formula>
    </cfRule>
    <cfRule type="cellIs" dxfId="21" priority="66" operator="equal">
      <formula>"Muy Baja"</formula>
    </cfRule>
  </conditionalFormatting>
  <conditionalFormatting sqref="V15 V19:V21 V23:V24">
    <cfRule type="containsText" dxfId="20" priority="38" operator="containsText" text="❌">
      <formula>NOT(ISERROR(SEARCH("❌",V15)))</formula>
    </cfRule>
  </conditionalFormatting>
  <conditionalFormatting sqref="W15 W19:W21 W23:W24">
    <cfRule type="cellIs" dxfId="19" priority="1" operator="equal">
      <formula>"Catastrófico"</formula>
    </cfRule>
    <cfRule type="cellIs" dxfId="18" priority="2" operator="equal">
      <formula>"Mayor"</formula>
    </cfRule>
    <cfRule type="cellIs" dxfId="17" priority="3" operator="equal">
      <formula>"Moderado"</formula>
    </cfRule>
    <cfRule type="cellIs" dxfId="16" priority="4" operator="equal">
      <formula>"Menor"</formula>
    </cfRule>
    <cfRule type="cellIs" dxfId="15" priority="5" operator="equal">
      <formula>"Leve"</formula>
    </cfRule>
  </conditionalFormatting>
  <conditionalFormatting sqref="Y15 AP15:AP24 Y19:Y21 Y23:Y24">
    <cfRule type="cellIs" dxfId="14" priority="53" operator="equal">
      <formula>"Extremo"</formula>
    </cfRule>
    <cfRule type="cellIs" dxfId="13" priority="54" operator="equal">
      <formula>"Alto"</formula>
    </cfRule>
    <cfRule type="cellIs" dxfId="12" priority="55" operator="equal">
      <formula>"Moderado"</formula>
    </cfRule>
    <cfRule type="cellIs" dxfId="11" priority="56" operator="equal">
      <formula>"Bajo"</formula>
    </cfRule>
  </conditionalFormatting>
  <conditionalFormatting sqref="AM27:AM29">
    <cfRule type="cellIs" dxfId="10" priority="26" stopIfTrue="1" operator="equal">
      <formula>#REF!</formula>
    </cfRule>
    <cfRule type="cellIs" dxfId="9" priority="27" operator="equal">
      <formula>#REF!</formula>
    </cfRule>
    <cfRule type="cellIs" dxfId="8" priority="28" operator="equal">
      <formula>#REF!</formula>
    </cfRule>
  </conditionalFormatting>
  <conditionalFormatting sqref="AN15:AN24">
    <cfRule type="cellIs" dxfId="7" priority="43" operator="equal">
      <formula>"Catastrófico"</formula>
    </cfRule>
    <cfRule type="cellIs" dxfId="6" priority="44" operator="equal">
      <formula>"Mayor"</formula>
    </cfRule>
    <cfRule type="cellIs" dxfId="5" priority="45" operator="equal">
      <formula>"Moderado"</formula>
    </cfRule>
    <cfRule type="cellIs" dxfId="4" priority="46" operator="equal">
      <formula>"Menor"</formula>
    </cfRule>
    <cfRule type="cellIs" dxfId="3" priority="47" operator="equal">
      <formula>"Leve"</formula>
    </cfRule>
  </conditionalFormatting>
  <conditionalFormatting sqref="AN27:AN29">
    <cfRule type="cellIs" dxfId="2" priority="29" stopIfTrue="1" operator="equal">
      <formula>#REF!</formula>
    </cfRule>
    <cfRule type="cellIs" dxfId="1" priority="30" stopIfTrue="1" operator="equal">
      <formula>#REF!</formula>
    </cfRule>
    <cfRule type="cellIs" dxfId="0" priority="31" stopIfTrue="1" operator="equal">
      <formula>#REF!</formula>
    </cfRule>
  </conditionalFormatting>
  <dataValidations count="6">
    <dataValidation type="list" allowBlank="1" showInputMessage="1" showErrorMessage="1" sqref="N27" xr:uid="{61DF7E04-DE5E-4FE1-A38F-8A138AA87D58}">
      <formula1>$N$184:$N$193</formula1>
    </dataValidation>
    <dataValidation type="list" allowBlank="1" showInputMessage="1" showErrorMessage="1" sqref="N29 AM29:AN29" xr:uid="{66A41BD7-B090-4403-937D-0435537D31DA}">
      <formula1>#REF!</formula1>
    </dataValidation>
    <dataValidation type="list" allowBlank="1" showInputMessage="1" showErrorMessage="1" sqref="AC29" xr:uid="{3BD557FD-BAB0-4660-A45C-D7AACD9880D7}">
      <formula1>$U$184:$U$185</formula1>
    </dataValidation>
    <dataValidation type="list" allowBlank="1" showInputMessage="1" showErrorMessage="1" sqref="R29" xr:uid="{6EC8CB42-9310-43CD-8FAB-388F6EFE7B5E}">
      <formula1>$R$184:$R$188</formula1>
    </dataValidation>
    <dataValidation type="list" allowBlank="1" showInputMessage="1" showErrorMessage="1" sqref="O29:Q29" xr:uid="{681E5490-2B09-494D-9B90-359A2E8F22F3}">
      <formula1>$O$184:$O$188</formula1>
    </dataValidation>
    <dataValidation type="list" allowBlank="1" showInputMessage="1" showErrorMessage="1" sqref="AY29 AF29:AL29 AD29 AU29 AW29" xr:uid="{208EF431-1729-4D5C-B151-F6757CBBD462}">
      <formula1>$AU$184:$AU$191</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5E056D49-2A01-4844-9657-EAFD8E3B5A80}">
          <x14:formula1>
            <xm:f>'Opciones Tratamiento'!$B$13:$B$19</xm:f>
          </x14:formula1>
          <xm:sqref>O15 O19:O21 O23:O24</xm:sqref>
        </x14:dataValidation>
        <x14:dataValidation type="list" allowBlank="1" showInputMessage="1" showErrorMessage="1" xr:uid="{EF0C0067-1765-4F11-A967-1A801D325D81}">
          <x14:formula1>
            <xm:f>'Tabla Impacto'!$F$210:$F$221</xm:f>
          </x14:formula1>
          <xm:sqref>U15 U19:U21 U23:U24</xm:sqref>
        </x14:dataValidation>
        <x14:dataValidation type="custom" allowBlank="1" showInputMessage="1" showErrorMessage="1" error="Recuerde que las acciones se generan bajo la medida de mitigar el riesgo" xr:uid="{E3EDE35C-AB25-4047-9423-56EED39EADE9}">
          <x14:formula1>
            <xm:f>IF(OR(AQ15='Opciones Tratamiento'!$B$2,AQ15='Opciones Tratamiento'!$B$3,AQ15='Opciones Tratamiento'!$B$4),ISBLANK(AQ15),ISTEXT(AQ15))</xm:f>
          </x14:formula1>
          <xm:sqref>AU15 AY15:AY24 AU19:AU24</xm:sqref>
        </x14:dataValidation>
        <x14:dataValidation type="list" allowBlank="1" showInputMessage="1" showErrorMessage="1" xr:uid="{9E41A0A5-9033-48F4-A523-E78EEE31291B}">
          <x14:formula1>
            <xm:f>Listas!$B$2:$B$7</xm:f>
          </x14:formula1>
          <xm:sqref>H15 H19:H21 H23:H24</xm:sqref>
        </x14:dataValidation>
        <x14:dataValidation type="list" allowBlank="1" showInputMessage="1" showErrorMessage="1" xr:uid="{C1C18457-6497-4468-A0EC-5756D2A505AB}">
          <x14:formula1>
            <xm:f>Hoja2!$B$3:$B$18</xm:f>
          </x14:formula1>
          <xm:sqref>E15 E19:E21 E23:E24</xm:sqref>
        </x14:dataValidation>
        <x14:dataValidation type="list" allowBlank="1" showInputMessage="1" showErrorMessage="1" xr:uid="{30B1B799-4F7E-4DF0-8163-3420DCED9D9B}">
          <x14:formula1>
            <xm:f>Hoja2!$D$3:$D$21</xm:f>
          </x14:formula1>
          <xm:sqref>F15 F19:F21 F23:F24</xm:sqref>
        </x14:dataValidation>
        <x14:dataValidation type="list" allowBlank="1" showInputMessage="1" showErrorMessage="1" xr:uid="{4543C4BE-F1CB-4CCC-8B32-CEE48E0F43C3}">
          <x14:formula1>
            <xm:f>Hoja2!$E$3:$E$23</xm:f>
          </x14:formula1>
          <xm:sqref>G15 G19:G21 G23:G24</xm:sqref>
        </x14:dataValidation>
        <x14:dataValidation type="list" allowBlank="1" showInputMessage="1" showErrorMessage="1" xr:uid="{FFA9F3EB-8AAC-4371-8BA9-EA5BFF31F870}">
          <x14:formula1>
            <xm:f>'Opciones Tratamiento'!$B$9:$B$10</xm:f>
          </x14:formula1>
          <xm:sqref>BA15:BB24 BE15:BE24 AX15:AX24</xm:sqref>
        </x14:dataValidation>
        <x14:dataValidation type="list" allowBlank="1" showInputMessage="1" showErrorMessage="1" xr:uid="{2F8B922F-A596-4F43-8DB5-EB88E0211184}">
          <x14:formula1>
            <xm:f>'Tabla Valoración controles'!$D$4:$D$6</xm:f>
          </x14:formula1>
          <xm:sqref>AD15:AD24</xm:sqref>
        </x14:dataValidation>
        <x14:dataValidation type="list" allowBlank="1" showInputMessage="1" showErrorMessage="1" xr:uid="{DC38EDB2-F7BD-4E7B-9DDA-3C58EAD78CC5}">
          <x14:formula1>
            <xm:f>'Tabla Valoración controles'!$D$7:$D$8</xm:f>
          </x14:formula1>
          <xm:sqref>AE15:AE24</xm:sqref>
        </x14:dataValidation>
        <x14:dataValidation type="list" allowBlank="1" showInputMessage="1" showErrorMessage="1" xr:uid="{D75AC793-23AB-4ECB-AA93-972ACC7C18B9}">
          <x14:formula1>
            <xm:f>'Tabla Valoración controles'!$D$9:$D$10</xm:f>
          </x14:formula1>
          <xm:sqref>AG15:AG24</xm:sqref>
        </x14:dataValidation>
        <x14:dataValidation type="list" allowBlank="1" showInputMessage="1" showErrorMessage="1" xr:uid="{7CEE6D34-E894-4B07-9738-58E7887FE090}">
          <x14:formula1>
            <xm:f>'Tabla Valoración controles'!$D$11:$D$12</xm:f>
          </x14:formula1>
          <xm:sqref>AH15:AH24</xm:sqref>
        </x14:dataValidation>
        <x14:dataValidation type="list" allowBlank="1" showInputMessage="1" showErrorMessage="1" xr:uid="{B39FB738-8E70-4C89-BE00-31B6F6BC10CA}">
          <x14:formula1>
            <xm:f>'Tabla Valoración controles'!$D$13:$D$14</xm:f>
          </x14:formula1>
          <xm:sqref>AI15:AI24</xm:sqref>
        </x14:dataValidation>
        <x14:dataValidation type="list" allowBlank="1" showInputMessage="1" showErrorMessage="1" xr:uid="{BCC5CE02-71F3-4D30-B2B6-0BC8D084AB56}">
          <x14:formula1>
            <xm:f>'Opciones Tratamiento'!$B$2:$B$5</xm:f>
          </x14:formula1>
          <xm:sqref>AQ15:AQ24</xm:sqref>
        </x14:dataValidation>
        <x14:dataValidation type="custom" allowBlank="1" showInputMessage="1" showErrorMessage="1" error="Recuerde que las acciones se generan bajo la medida de mitigar el riesgo" xr:uid="{5067E0A1-85BC-4774-9D87-F4D5111F4D71}">
          <x14:formula1>
            <xm:f>IF(OR(AQ15='Opciones Tratamiento'!$B$2,AQ15='Opciones Tratamiento'!$B$3,AQ15='Opciones Tratamiento'!$B$4),ISBLANK(AQ15),ISTEXT(AQ15))</xm:f>
          </x14:formula1>
          <xm:sqref>AZ15:AZ24 BC15:BC24 AV15:AV24</xm:sqref>
        </x14:dataValidation>
        <x14:dataValidation type="custom" allowBlank="1" showInputMessage="1" showErrorMessage="1" error="Recuerde que las acciones se generan bajo la medida de mitigar el riesgo" xr:uid="{B9883EC3-2B93-49BB-8FD9-A1B582EB3BDF}">
          <x14:formula1>
            <xm:f>IF(OR(AQ15='Opciones Tratamiento'!$B$2,AQ15='Opciones Tratamiento'!$B$3,AQ15='Opciones Tratamiento'!$B$4),ISBLANK(AQ15),ISTEXT(AQ15))</xm:f>
          </x14:formula1>
          <xm:sqref>BD15:BD24 AW15:AW24</xm:sqref>
        </x14:dataValidation>
        <x14:dataValidation type="list" allowBlank="1" showInputMessage="1" showErrorMessage="1" xr:uid="{18D67E99-42AB-45DC-A2FE-8D8E10F740C2}">
          <x14:formula1>
            <xm:f>Hoja2!$I$3:$I$19</xm:f>
          </x14:formula1>
          <xm:sqref>P15:P21 P23:P24</xm:sqref>
        </x14:dataValidation>
        <x14:dataValidation type="list" allowBlank="1" showInputMessage="1" showErrorMessage="1" xr:uid="{CA70136A-3011-40DC-B9A2-7D15FB6CFBB1}">
          <x14:formula1>
            <xm:f>Hoja2!$J$3:$J$23</xm:f>
          </x14:formula1>
          <xm:sqref>Q15:Q21 Q23:Q24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6"/>
  <sheetViews>
    <sheetView topLeftCell="C1" workbookViewId="0">
      <selection activeCell="I10" sqref="I10"/>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9.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45" t="s">
        <v>137</v>
      </c>
      <c r="C1" s="345"/>
      <c r="D1" s="345"/>
      <c r="E1" s="345"/>
      <c r="F1" s="345"/>
      <c r="G1" s="345"/>
      <c r="H1" s="345"/>
      <c r="I1" s="345"/>
      <c r="J1" s="345"/>
      <c r="L1" s="345" t="s">
        <v>139</v>
      </c>
      <c r="M1" s="345"/>
      <c r="N1" s="345"/>
      <c r="O1" s="345"/>
      <c r="P1" s="345"/>
      <c r="Q1" s="345"/>
      <c r="R1" s="345"/>
    </row>
    <row r="2" spans="2:18" ht="50.25" customHeight="1" x14ac:dyDescent="0.25">
      <c r="B2" s="175" t="s">
        <v>377</v>
      </c>
      <c r="C2" s="175" t="s">
        <v>381</v>
      </c>
      <c r="D2" s="174" t="s">
        <v>2</v>
      </c>
      <c r="E2" s="174" t="s">
        <v>316</v>
      </c>
      <c r="F2" s="174" t="s">
        <v>365</v>
      </c>
      <c r="G2" s="175" t="s">
        <v>367</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382</v>
      </c>
      <c r="D3" s="116" t="s">
        <v>131</v>
      </c>
      <c r="E3" s="116" t="s">
        <v>313</v>
      </c>
      <c r="F3" t="s">
        <v>225</v>
      </c>
      <c r="G3" s="116" t="s">
        <v>128</v>
      </c>
      <c r="I3" t="s">
        <v>368</v>
      </c>
      <c r="J3" t="s">
        <v>236</v>
      </c>
      <c r="L3" s="2" t="s">
        <v>14</v>
      </c>
      <c r="M3" s="2" t="s">
        <v>10</v>
      </c>
      <c r="N3" s="2" t="s">
        <v>19</v>
      </c>
      <c r="O3" s="2" t="s">
        <v>22</v>
      </c>
      <c r="P3" s="2" t="s">
        <v>25</v>
      </c>
      <c r="Q3" s="2" t="s">
        <v>31</v>
      </c>
      <c r="R3" t="s">
        <v>39</v>
      </c>
    </row>
    <row r="4" spans="2:18" ht="31.5" customHeight="1" x14ac:dyDescent="0.25">
      <c r="B4" s="18" t="s">
        <v>216</v>
      </c>
      <c r="C4" s="18" t="s">
        <v>383</v>
      </c>
      <c r="D4" s="116" t="s">
        <v>130</v>
      </c>
      <c r="E4" s="116" t="s">
        <v>314</v>
      </c>
      <c r="F4" t="s">
        <v>218</v>
      </c>
      <c r="G4" s="116" t="s">
        <v>122</v>
      </c>
      <c r="I4" t="s">
        <v>369</v>
      </c>
      <c r="J4" t="s">
        <v>237</v>
      </c>
      <c r="L4" s="2" t="s">
        <v>15</v>
      </c>
      <c r="M4" s="2" t="s">
        <v>9</v>
      </c>
      <c r="N4" s="2" t="s">
        <v>20</v>
      </c>
      <c r="O4" s="2" t="s">
        <v>23</v>
      </c>
      <c r="P4" s="2" t="s">
        <v>26</v>
      </c>
      <c r="Q4" s="2" t="s">
        <v>32</v>
      </c>
      <c r="R4" t="s">
        <v>40</v>
      </c>
    </row>
    <row r="5" spans="2:18" ht="51.75" customHeight="1" x14ac:dyDescent="0.25">
      <c r="B5" s="18" t="s">
        <v>217</v>
      </c>
      <c r="C5" s="18" t="s">
        <v>384</v>
      </c>
      <c r="D5" s="116" t="s">
        <v>132</v>
      </c>
      <c r="E5" s="116" t="s">
        <v>315</v>
      </c>
      <c r="F5" t="s">
        <v>226</v>
      </c>
      <c r="G5" s="116" t="s">
        <v>125</v>
      </c>
      <c r="I5" t="s">
        <v>231</v>
      </c>
      <c r="J5" t="s">
        <v>238</v>
      </c>
      <c r="L5" s="2" t="s">
        <v>16</v>
      </c>
      <c r="P5" s="2" t="s">
        <v>27</v>
      </c>
      <c r="Q5" s="2" t="s">
        <v>30</v>
      </c>
    </row>
    <row r="6" spans="2:18" ht="24.75" customHeight="1" x14ac:dyDescent="0.25">
      <c r="B6" s="18" t="s">
        <v>218</v>
      </c>
      <c r="C6" s="18" t="s">
        <v>385</v>
      </c>
      <c r="D6" s="116" t="s">
        <v>312</v>
      </c>
      <c r="E6" t="s">
        <v>373</v>
      </c>
      <c r="F6" t="s">
        <v>227</v>
      </c>
      <c r="G6" s="116" t="s">
        <v>123</v>
      </c>
      <c r="I6" t="s">
        <v>233</v>
      </c>
      <c r="J6" t="s">
        <v>428</v>
      </c>
      <c r="Q6" s="2" t="s">
        <v>134</v>
      </c>
    </row>
    <row r="7" spans="2:18" ht="26.25" customHeight="1" x14ac:dyDescent="0.25">
      <c r="B7" s="18" t="s">
        <v>222</v>
      </c>
      <c r="C7" s="18" t="s">
        <v>386</v>
      </c>
      <c r="D7" s="116" t="s">
        <v>394</v>
      </c>
      <c r="F7" t="s">
        <v>228</v>
      </c>
      <c r="G7" s="116" t="s">
        <v>124</v>
      </c>
      <c r="I7" t="s">
        <v>370</v>
      </c>
      <c r="Q7" s="2" t="s">
        <v>135</v>
      </c>
    </row>
    <row r="8" spans="2:18" ht="30" x14ac:dyDescent="0.25">
      <c r="B8" s="18" t="s">
        <v>310</v>
      </c>
      <c r="C8" s="18"/>
      <c r="D8" s="116"/>
      <c r="F8" t="s">
        <v>229</v>
      </c>
      <c r="G8" s="116" t="s">
        <v>126</v>
      </c>
      <c r="I8" s="116" t="s">
        <v>371</v>
      </c>
    </row>
    <row r="9" spans="2:18" ht="31.5" customHeight="1" x14ac:dyDescent="0.25">
      <c r="B9" s="18" t="s">
        <v>380</v>
      </c>
      <c r="C9" s="18"/>
      <c r="D9" s="116"/>
      <c r="G9" s="116" t="s">
        <v>127</v>
      </c>
      <c r="I9" t="s">
        <v>372</v>
      </c>
    </row>
    <row r="10" spans="2:18" x14ac:dyDescent="0.25">
      <c r="B10" s="18" t="s">
        <v>220</v>
      </c>
      <c r="C10" s="18"/>
      <c r="D10" s="116"/>
      <c r="I10" t="s">
        <v>373</v>
      </c>
    </row>
    <row r="11" spans="2:18" x14ac:dyDescent="0.25">
      <c r="B11" s="18" t="s">
        <v>378</v>
      </c>
      <c r="C11" s="18"/>
      <c r="D11" s="116"/>
    </row>
    <row r="12" spans="2:18" x14ac:dyDescent="0.25">
      <c r="B12" s="18" t="s">
        <v>379</v>
      </c>
      <c r="C12" s="18"/>
      <c r="I12" t="s">
        <v>373</v>
      </c>
    </row>
    <row r="13" spans="2:18" x14ac:dyDescent="0.25">
      <c r="B13" s="18" t="s">
        <v>223</v>
      </c>
      <c r="C13" s="18"/>
      <c r="I13" t="s">
        <v>425</v>
      </c>
    </row>
    <row r="14" spans="2:18" x14ac:dyDescent="0.25">
      <c r="I14" t="s">
        <v>426</v>
      </c>
    </row>
    <row r="15" spans="2:18" x14ac:dyDescent="0.25">
      <c r="I15" t="s">
        <v>427</v>
      </c>
    </row>
    <row r="16" spans="2:18" x14ac:dyDescent="0.25">
      <c r="I16" t="s">
        <v>428</v>
      </c>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374</v>
      </c>
    </row>
    <row r="30" spans="2:2" x14ac:dyDescent="0.25">
      <c r="B30" t="s">
        <v>375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46"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46" t="s">
        <v>317</v>
      </c>
      <c r="D2" s="347"/>
    </row>
    <row r="3" spans="3:4" x14ac:dyDescent="0.25">
      <c r="C3" s="348"/>
      <c r="D3" s="349"/>
    </row>
    <row r="4" spans="3:4" ht="15.75" thickBot="1" x14ac:dyDescent="0.3">
      <c r="C4" s="158" t="s">
        <v>318</v>
      </c>
      <c r="D4" s="159" t="s">
        <v>319</v>
      </c>
    </row>
    <row r="5" spans="3:4" ht="30" customHeight="1" x14ac:dyDescent="0.25">
      <c r="C5" s="160" t="s">
        <v>320</v>
      </c>
      <c r="D5" s="161">
        <v>1</v>
      </c>
    </row>
    <row r="6" spans="3:4" ht="28.5" customHeight="1" x14ac:dyDescent="0.25">
      <c r="C6" s="162" t="s">
        <v>321</v>
      </c>
      <c r="D6" s="163">
        <v>1</v>
      </c>
    </row>
    <row r="7" spans="3:4" ht="28.5" customHeight="1" x14ac:dyDescent="0.25">
      <c r="C7" s="164" t="s">
        <v>322</v>
      </c>
      <c r="D7" s="163">
        <v>1</v>
      </c>
    </row>
    <row r="8" spans="3:4" ht="28.5" customHeight="1" x14ac:dyDescent="0.25">
      <c r="C8" s="164" t="s">
        <v>323</v>
      </c>
      <c r="D8" s="163">
        <v>1</v>
      </c>
    </row>
    <row r="9" spans="3:4" ht="18.600000000000001" customHeight="1" x14ac:dyDescent="0.25">
      <c r="C9" s="164" t="s">
        <v>324</v>
      </c>
      <c r="D9" s="163">
        <v>1</v>
      </c>
    </row>
    <row r="10" spans="3:4" ht="28.5" customHeight="1" x14ac:dyDescent="0.25">
      <c r="C10" s="164" t="s">
        <v>325</v>
      </c>
      <c r="D10" s="163">
        <v>1</v>
      </c>
    </row>
    <row r="11" spans="3:4" ht="21" customHeight="1" x14ac:dyDescent="0.25">
      <c r="C11" s="162" t="s">
        <v>326</v>
      </c>
      <c r="D11" s="163">
        <v>1</v>
      </c>
    </row>
    <row r="12" spans="3:4" ht="21" customHeight="1" x14ac:dyDescent="0.25">
      <c r="C12" s="162" t="s">
        <v>327</v>
      </c>
      <c r="D12" s="163">
        <v>1</v>
      </c>
    </row>
    <row r="13" spans="3:4" ht="21.6" customHeight="1" x14ac:dyDescent="0.25">
      <c r="C13" s="162" t="s">
        <v>328</v>
      </c>
      <c r="D13" s="163">
        <v>1</v>
      </c>
    </row>
    <row r="14" spans="3:4" ht="28.5" customHeight="1" x14ac:dyDescent="0.25">
      <c r="C14" s="162" t="s">
        <v>329</v>
      </c>
      <c r="D14" s="163">
        <v>1</v>
      </c>
    </row>
    <row r="15" spans="3:4" ht="22.5" customHeight="1" x14ac:dyDescent="0.25">
      <c r="C15" s="165"/>
      <c r="D15" s="163">
        <v>1</v>
      </c>
    </row>
    <row r="16" spans="3:4" ht="28.5" customHeight="1" x14ac:dyDescent="0.25">
      <c r="C16" s="166" t="s">
        <v>330</v>
      </c>
      <c r="D16" s="167"/>
    </row>
    <row r="17" spans="3:4" ht="28.5" customHeight="1" x14ac:dyDescent="0.25">
      <c r="C17" s="160" t="s">
        <v>331</v>
      </c>
      <c r="D17" s="163">
        <v>1</v>
      </c>
    </row>
    <row r="18" spans="3:4" ht="28.5" customHeight="1" x14ac:dyDescent="0.25">
      <c r="C18" s="160" t="s">
        <v>332</v>
      </c>
      <c r="D18" s="163">
        <v>1</v>
      </c>
    </row>
    <row r="19" spans="3:4" ht="28.5" customHeight="1" x14ac:dyDescent="0.25">
      <c r="C19" s="160" t="s">
        <v>333</v>
      </c>
      <c r="D19" s="163">
        <v>1</v>
      </c>
    </row>
    <row r="20" spans="3:4" ht="28.5" customHeight="1" x14ac:dyDescent="0.25">
      <c r="C20" s="162" t="s">
        <v>334</v>
      </c>
      <c r="D20" s="163">
        <v>1</v>
      </c>
    </row>
    <row r="21" spans="3:4" ht="28.5" customHeight="1" x14ac:dyDescent="0.25">
      <c r="C21" s="160" t="s">
        <v>335</v>
      </c>
      <c r="D21" s="163">
        <v>1</v>
      </c>
    </row>
    <row r="22" spans="3:4" ht="28.5" customHeight="1" x14ac:dyDescent="0.25">
      <c r="C22" s="168" t="s">
        <v>336</v>
      </c>
      <c r="D22" s="163">
        <v>1</v>
      </c>
    </row>
    <row r="23" spans="3:4" ht="28.5" customHeight="1" x14ac:dyDescent="0.25">
      <c r="C23" s="160" t="s">
        <v>337</v>
      </c>
      <c r="D23" s="163">
        <v>1</v>
      </c>
    </row>
    <row r="24" spans="3:4" ht="28.5" customHeight="1" x14ac:dyDescent="0.25">
      <c r="C24" s="160" t="s">
        <v>338</v>
      </c>
      <c r="D24" s="163">
        <v>1</v>
      </c>
    </row>
    <row r="25" spans="3:4" ht="28.5" customHeight="1" x14ac:dyDescent="0.25">
      <c r="C25" s="165"/>
      <c r="D25" s="163">
        <v>1</v>
      </c>
    </row>
    <row r="26" spans="3:4" ht="28.5" customHeight="1" x14ac:dyDescent="0.25">
      <c r="C26" s="165"/>
      <c r="D26" s="163">
        <v>1</v>
      </c>
    </row>
    <row r="27" spans="3:4" ht="28.5" customHeight="1" x14ac:dyDescent="0.25">
      <c r="C27" s="166" t="s">
        <v>339</v>
      </c>
      <c r="D27" s="169"/>
    </row>
    <row r="28" spans="3:4" ht="28.5" customHeight="1" x14ac:dyDescent="0.25">
      <c r="C28" s="164" t="s">
        <v>340</v>
      </c>
      <c r="D28" s="163">
        <v>1</v>
      </c>
    </row>
    <row r="29" spans="3:4" ht="28.5" customHeight="1" x14ac:dyDescent="0.25">
      <c r="C29" s="164" t="s">
        <v>341</v>
      </c>
      <c r="D29" s="163">
        <v>1</v>
      </c>
    </row>
    <row r="30" spans="3:4" ht="28.5" customHeight="1" x14ac:dyDescent="0.25">
      <c r="C30" s="164" t="s">
        <v>342</v>
      </c>
      <c r="D30" s="163">
        <v>1</v>
      </c>
    </row>
    <row r="31" spans="3:4" ht="28.5" customHeight="1" x14ac:dyDescent="0.25">
      <c r="C31" s="164" t="s">
        <v>343</v>
      </c>
      <c r="D31" s="163">
        <v>1</v>
      </c>
    </row>
    <row r="32" spans="3:4" ht="28.5" customHeight="1" x14ac:dyDescent="0.25">
      <c r="C32" s="164" t="s">
        <v>344</v>
      </c>
      <c r="D32" s="163">
        <v>1</v>
      </c>
    </row>
    <row r="33" spans="3:4" ht="28.5" customHeight="1" x14ac:dyDescent="0.25">
      <c r="C33" s="170" t="s">
        <v>345</v>
      </c>
      <c r="D33" s="163">
        <v>1</v>
      </c>
    </row>
    <row r="34" spans="3:4" ht="28.5" customHeight="1" x14ac:dyDescent="0.25">
      <c r="C34" s="162" t="s">
        <v>346</v>
      </c>
      <c r="D34" s="163">
        <v>1</v>
      </c>
    </row>
    <row r="35" spans="3:4" ht="28.5" customHeight="1" x14ac:dyDescent="0.25">
      <c r="C35" s="164" t="s">
        <v>347</v>
      </c>
      <c r="D35" s="163">
        <v>1</v>
      </c>
    </row>
    <row r="36" spans="3:4" ht="28.5" customHeight="1" x14ac:dyDescent="0.25">
      <c r="C36" s="164" t="s">
        <v>348</v>
      </c>
      <c r="D36" s="163">
        <v>1</v>
      </c>
    </row>
    <row r="37" spans="3:4" ht="28.5" customHeight="1" x14ac:dyDescent="0.25">
      <c r="C37" s="164" t="s">
        <v>349</v>
      </c>
      <c r="D37" s="163">
        <v>1</v>
      </c>
    </row>
    <row r="38" spans="3:4" ht="28.5" customHeight="1" x14ac:dyDescent="0.25">
      <c r="C38" s="162" t="s">
        <v>350</v>
      </c>
      <c r="D38" s="163">
        <v>1</v>
      </c>
    </row>
    <row r="39" spans="3:4" ht="28.5" customHeight="1" x14ac:dyDescent="0.25">
      <c r="C39" s="170" t="s">
        <v>351</v>
      </c>
      <c r="D39" s="163">
        <v>1</v>
      </c>
    </row>
    <row r="40" spans="3:4" ht="28.5" customHeight="1" x14ac:dyDescent="0.25">
      <c r="C40" s="170" t="s">
        <v>352</v>
      </c>
      <c r="D40" s="163">
        <v>1</v>
      </c>
    </row>
    <row r="41" spans="3:4" ht="28.5" customHeight="1" x14ac:dyDescent="0.25">
      <c r="C41" s="170" t="s">
        <v>353</v>
      </c>
      <c r="D41" s="163">
        <v>1</v>
      </c>
    </row>
    <row r="42" spans="3:4" ht="28.5" customHeight="1" x14ac:dyDescent="0.25">
      <c r="C42" s="170" t="s">
        <v>354</v>
      </c>
      <c r="D42" s="163">
        <v>1</v>
      </c>
    </row>
    <row r="43" spans="3:4" ht="28.5" customHeight="1" x14ac:dyDescent="0.25">
      <c r="C43" s="171"/>
      <c r="D43" s="163"/>
    </row>
    <row r="44" spans="3:4" ht="28.5" customHeight="1" x14ac:dyDescent="0.25">
      <c r="C44" s="171"/>
      <c r="D44" s="163"/>
    </row>
    <row r="45" spans="3:4" ht="28.5" customHeight="1" x14ac:dyDescent="0.25">
      <c r="C45" s="166" t="s">
        <v>355</v>
      </c>
      <c r="D45" s="169"/>
    </row>
    <row r="46" spans="3:4" ht="28.5" customHeight="1" x14ac:dyDescent="0.25">
      <c r="C46" s="170" t="s">
        <v>356</v>
      </c>
      <c r="D46" s="163">
        <v>1</v>
      </c>
    </row>
    <row r="47" spans="3:4" ht="28.5" customHeight="1" x14ac:dyDescent="0.25">
      <c r="C47" s="170" t="s">
        <v>357</v>
      </c>
      <c r="D47" s="163">
        <v>1</v>
      </c>
    </row>
    <row r="48" spans="3:4" ht="28.5" customHeight="1" x14ac:dyDescent="0.25">
      <c r="C48" s="170" t="s">
        <v>358</v>
      </c>
      <c r="D48" s="163">
        <v>1</v>
      </c>
    </row>
    <row r="49" spans="3:4" ht="28.5" customHeight="1" x14ac:dyDescent="0.25">
      <c r="C49" s="170" t="s">
        <v>359</v>
      </c>
      <c r="D49" s="163">
        <v>1</v>
      </c>
    </row>
    <row r="50" spans="3:4" ht="28.5" customHeight="1" x14ac:dyDescent="0.25">
      <c r="C50" s="172" t="s">
        <v>360</v>
      </c>
      <c r="D50" s="163">
        <v>1</v>
      </c>
    </row>
    <row r="51" spans="3:4" ht="28.5" customHeight="1" x14ac:dyDescent="0.25">
      <c r="C51" s="172" t="s">
        <v>361</v>
      </c>
      <c r="D51" s="163">
        <v>1</v>
      </c>
    </row>
    <row r="52" spans="3:4" ht="28.5" customHeight="1" x14ac:dyDescent="0.25">
      <c r="C52" s="172" t="s">
        <v>362</v>
      </c>
      <c r="D52" s="163">
        <v>1</v>
      </c>
    </row>
    <row r="53" spans="3:4" ht="28.5" customHeight="1" x14ac:dyDescent="0.25">
      <c r="C53" s="160" t="s">
        <v>363</v>
      </c>
      <c r="D53" s="163">
        <v>1</v>
      </c>
    </row>
    <row r="54" spans="3:4" ht="28.5" customHeight="1" x14ac:dyDescent="0.25">
      <c r="C54" s="160" t="s">
        <v>364</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activeCell="BF50" sqref="BF50"/>
    </sheetView>
  </sheetViews>
  <sheetFormatPr baseColWidth="10" defaultRowHeight="15" x14ac:dyDescent="0.25"/>
  <cols>
    <col min="1" max="1" width="5.28515625" customWidth="1"/>
    <col min="2" max="2" width="8.85546875" customWidth="1"/>
    <col min="3" max="3" width="9" customWidth="1"/>
    <col min="4" max="35" width="5.7109375" customWidth="1"/>
    <col min="36" max="37" width="8.28515625" customWidth="1"/>
    <col min="38" max="41" width="5.7109375" customWidth="1"/>
    <col min="43" max="48" width="5.7109375" customWidth="1"/>
  </cols>
  <sheetData>
    <row r="1" spans="1:101" ht="15.75" thickBot="1" x14ac:dyDescent="0.3"/>
    <row r="2" spans="1:101" ht="15" customHeight="1" x14ac:dyDescent="0.25">
      <c r="D2" s="410" t="s">
        <v>251</v>
      </c>
      <c r="E2" s="411"/>
      <c r="F2" s="411"/>
      <c r="G2" s="411"/>
      <c r="H2" s="411"/>
      <c r="I2" s="411"/>
      <c r="J2" s="411"/>
      <c r="K2" s="412"/>
      <c r="L2" s="401" t="s">
        <v>205</v>
      </c>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3"/>
      <c r="AP2" s="264" t="s">
        <v>250</v>
      </c>
      <c r="AQ2" s="398"/>
      <c r="AR2" s="398"/>
      <c r="AS2" s="398"/>
      <c r="AT2" s="398"/>
      <c r="AU2" s="398"/>
      <c r="AV2" s="253"/>
    </row>
    <row r="3" spans="1:101" x14ac:dyDescent="0.25">
      <c r="D3" s="413"/>
      <c r="E3" s="414"/>
      <c r="F3" s="414"/>
      <c r="G3" s="414"/>
      <c r="H3" s="414"/>
      <c r="I3" s="414"/>
      <c r="J3" s="414"/>
      <c r="K3" s="415"/>
      <c r="L3" s="404"/>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6"/>
      <c r="AP3" s="265" t="s">
        <v>264</v>
      </c>
      <c r="AQ3" s="399"/>
      <c r="AR3" s="399"/>
      <c r="AS3" s="399"/>
      <c r="AT3" s="399"/>
      <c r="AU3" s="399"/>
      <c r="AV3" s="255"/>
    </row>
    <row r="4" spans="1:101" x14ac:dyDescent="0.25">
      <c r="D4" s="413"/>
      <c r="E4" s="414"/>
      <c r="F4" s="414"/>
      <c r="G4" s="414"/>
      <c r="H4" s="414"/>
      <c r="I4" s="414"/>
      <c r="J4" s="414"/>
      <c r="K4" s="415"/>
      <c r="L4" s="404"/>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5"/>
      <c r="AO4" s="406"/>
      <c r="AP4" s="265" t="s">
        <v>388</v>
      </c>
      <c r="AQ4" s="399" t="s">
        <v>263</v>
      </c>
      <c r="AR4" s="399"/>
      <c r="AS4" s="399"/>
      <c r="AT4" s="399"/>
      <c r="AU4" s="399"/>
      <c r="AV4" s="255"/>
    </row>
    <row r="5" spans="1:101" ht="15.75" thickBot="1" x14ac:dyDescent="0.3">
      <c r="D5" s="416"/>
      <c r="E5" s="417"/>
      <c r="F5" s="417"/>
      <c r="G5" s="417"/>
      <c r="H5" s="417"/>
      <c r="I5" s="417"/>
      <c r="J5" s="417"/>
      <c r="K5" s="418"/>
      <c r="L5" s="407"/>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9"/>
      <c r="AP5" s="266" t="s">
        <v>245</v>
      </c>
      <c r="AQ5" s="400" t="s">
        <v>245</v>
      </c>
      <c r="AR5" s="400"/>
      <c r="AS5" s="400"/>
      <c r="AT5" s="400"/>
      <c r="AU5" s="400"/>
      <c r="AV5" s="257"/>
    </row>
    <row r="7" spans="1:101" ht="18" customHeight="1" x14ac:dyDescent="0.25">
      <c r="C7" s="69"/>
      <c r="D7" s="350" t="s">
        <v>157</v>
      </c>
      <c r="E7" s="350"/>
      <c r="F7" s="350"/>
      <c r="G7" s="350"/>
      <c r="H7" s="350"/>
      <c r="I7" s="350"/>
      <c r="J7" s="350"/>
      <c r="K7" s="350"/>
      <c r="L7" s="457" t="s">
        <v>2</v>
      </c>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c r="AN7" s="457"/>
      <c r="AO7" s="457"/>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292" t="s">
        <v>266</v>
      </c>
      <c r="B8" s="292"/>
      <c r="C8" s="293"/>
      <c r="D8" s="350"/>
      <c r="E8" s="350"/>
      <c r="F8" s="350"/>
      <c r="G8" s="350"/>
      <c r="H8" s="350"/>
      <c r="I8" s="350"/>
      <c r="J8" s="350"/>
      <c r="K8" s="350"/>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350"/>
      <c r="E9" s="350"/>
      <c r="F9" s="350"/>
      <c r="G9" s="350"/>
      <c r="H9" s="350"/>
      <c r="I9" s="350"/>
      <c r="J9" s="350"/>
      <c r="K9" s="350"/>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c r="AN9" s="457"/>
      <c r="AO9" s="457"/>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419" t="s">
        <v>4</v>
      </c>
      <c r="E11" s="419"/>
      <c r="F11" s="420"/>
      <c r="G11" s="387" t="s">
        <v>115</v>
      </c>
      <c r="H11" s="389"/>
      <c r="I11" s="389"/>
      <c r="J11" s="389"/>
      <c r="K11" s="389"/>
      <c r="L11" s="384" t="str">
        <f>IF(AND('Mapa final'!$S$15="Muy Alta",'Mapa final'!$W$15="Leve"),CONCATENATE("R",'Mapa final'!$A$15),"")</f>
        <v/>
      </c>
      <c r="M11" s="385"/>
      <c r="N11" s="385" t="str">
        <f>IF(AND('Mapa final'!$N$16="Muy Alta",'Mapa final'!$R$16="Leve"),CONCATENATE("R",'Mapa final'!$A$16),"")</f>
        <v/>
      </c>
      <c r="O11" s="385"/>
      <c r="P11" s="385" t="str">
        <f>IF(AND('Mapa final'!$N$17="Muy Alta",'Mapa final'!$R$17="Leve"),CONCATENATE("R",'Mapa final'!$A$17),"")</f>
        <v/>
      </c>
      <c r="Q11" s="386"/>
      <c r="R11" s="384" t="str">
        <f>IF(AND('Mapa final'!$S$15="Muy Alta",'Mapa final'!$W$15="Menor"),CONCATENATE("R",'Mapa final'!$A$15),"")</f>
        <v/>
      </c>
      <c r="S11" s="385"/>
      <c r="T11" s="385" t="str">
        <f>IF(AND('Mapa final'!$S$16="Muy Alta",'Mapa final'!$W$16="Menor"),CONCATENATE("R",'Mapa final'!$A$16),"")</f>
        <v/>
      </c>
      <c r="U11" s="385"/>
      <c r="V11" s="385" t="str">
        <f>IF(AND('Mapa final'!$S$17="Muy Alta",'Mapa final'!$W$17="Menor"),CONCATENATE("R",'Mapa final'!$A$17),"")</f>
        <v/>
      </c>
      <c r="W11" s="385"/>
      <c r="X11" s="384" t="str">
        <f>IF(AND('Mapa final'!$S$15="Muy Alta",'Mapa final'!$W$15="Moderado"),CONCATENATE("R",'Mapa final'!$A$15),"")</f>
        <v/>
      </c>
      <c r="Y11" s="385"/>
      <c r="Z11" s="385" t="str">
        <f>IF(AND('Mapa final'!S$16="Muy Alta",'Mapa final'!$W$16="Moderado"),CONCATENATE("R",'Mapa final'!$A$16),"")</f>
        <v/>
      </c>
      <c r="AA11" s="385"/>
      <c r="AB11" s="385" t="str">
        <f>IF(AND('Mapa final'!$S$17="Muy Alta",'Mapa final'!$W$17="Moderado"),CONCATENATE("R",'Mapa final'!$A$17),"")</f>
        <v/>
      </c>
      <c r="AC11" s="385"/>
      <c r="AD11" s="384" t="str">
        <f>IF(AND('Mapa final'!$S$15="Muy Alta",'Mapa final'!$W$15="Mayor"),CONCATENATE("R",'Mapa final'!$A$15),"")</f>
        <v/>
      </c>
      <c r="AE11" s="385"/>
      <c r="AF11" s="385" t="str">
        <f>IF(AND('Mapa final'!$S$16="Muy Alta",'Mapa final'!$W$16="Mayor"),CONCATENATE("R",'Mapa final'!$A$16),"")</f>
        <v/>
      </c>
      <c r="AG11" s="385"/>
      <c r="AH11" s="385" t="str">
        <f>IF(AND('Mapa final'!$S$17="Muy Alta",'Mapa final'!$W$17="Mayor"),CONCATENATE("R",'Mapa final'!$A$17),"")</f>
        <v/>
      </c>
      <c r="AI11" s="385"/>
      <c r="AJ11" s="375" t="str">
        <f>IF(AND('Mapa final'!$S$15="Muy Alta",'Mapa final'!$W$15="Catastrófico"),CONCATENATE("R",'Mapa final'!$A$15),"")</f>
        <v/>
      </c>
      <c r="AK11" s="376"/>
      <c r="AL11" s="376" t="str">
        <f>IF(AND('Mapa final'!$S$16="Muy Alta",'Mapa final'!$W$16="Catastrófico"),CONCATENATE("R",'Mapa final'!$A$16),"")</f>
        <v/>
      </c>
      <c r="AM11" s="376"/>
      <c r="AN11" s="376" t="str">
        <f>IF(AND('Mapa final'!$S$17="Muy Alta",'Mapa final'!$W$17="Catastrófico"),CONCATENATE("R",'Mapa final'!$A$17),"")</f>
        <v/>
      </c>
      <c r="AO11" s="377"/>
      <c r="AQ11" s="421" t="s">
        <v>78</v>
      </c>
      <c r="AR11" s="422"/>
      <c r="AS11" s="422"/>
      <c r="AT11" s="422"/>
      <c r="AU11" s="422"/>
      <c r="AV11" s="423"/>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419"/>
      <c r="E12" s="419"/>
      <c r="F12" s="420"/>
      <c r="G12" s="391"/>
      <c r="H12" s="392"/>
      <c r="I12" s="392"/>
      <c r="J12" s="392"/>
      <c r="K12" s="392"/>
      <c r="L12" s="378"/>
      <c r="M12" s="379"/>
      <c r="N12" s="379"/>
      <c r="O12" s="379"/>
      <c r="P12" s="379"/>
      <c r="Q12" s="380"/>
      <c r="R12" s="378"/>
      <c r="S12" s="379"/>
      <c r="T12" s="379"/>
      <c r="U12" s="379"/>
      <c r="V12" s="379"/>
      <c r="W12" s="379"/>
      <c r="X12" s="378"/>
      <c r="Y12" s="379"/>
      <c r="Z12" s="379"/>
      <c r="AA12" s="379"/>
      <c r="AB12" s="379"/>
      <c r="AC12" s="379"/>
      <c r="AD12" s="378"/>
      <c r="AE12" s="379"/>
      <c r="AF12" s="379"/>
      <c r="AG12" s="379"/>
      <c r="AH12" s="379"/>
      <c r="AI12" s="379"/>
      <c r="AJ12" s="369"/>
      <c r="AK12" s="370"/>
      <c r="AL12" s="370"/>
      <c r="AM12" s="370"/>
      <c r="AN12" s="370"/>
      <c r="AO12" s="371"/>
      <c r="AP12" s="69"/>
      <c r="AQ12" s="424"/>
      <c r="AR12" s="425"/>
      <c r="AS12" s="425"/>
      <c r="AT12" s="425"/>
      <c r="AU12" s="425"/>
      <c r="AV12" s="426"/>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419"/>
      <c r="E13" s="419"/>
      <c r="F13" s="420"/>
      <c r="G13" s="391"/>
      <c r="H13" s="392"/>
      <c r="I13" s="392"/>
      <c r="J13" s="392"/>
      <c r="K13" s="392"/>
      <c r="L13" s="378" t="str">
        <f>IF(AND('Mapa final'!$S$18="Muy Alta",'Mapa final'!$W$18="Leve"),CONCATENATE("R",'Mapa final'!$A$18),"")</f>
        <v/>
      </c>
      <c r="M13" s="379"/>
      <c r="N13" s="379" t="str">
        <f>IF(AND('Mapa final'!$N$19="Muy Alta",'Mapa final'!$R$19="Leve"),CONCATENATE("R",'Mapa final'!$A$19),"")</f>
        <v/>
      </c>
      <c r="O13" s="379"/>
      <c r="P13" s="379" t="str">
        <f>IF(AND('Mapa final'!$N$20="Muy Alta",'Mapa final'!$R$20="Leve"),CONCATENATE("R",'Mapa final'!$A$20),"")</f>
        <v/>
      </c>
      <c r="Q13" s="380"/>
      <c r="R13" s="378" t="str">
        <f>IF(AND('Mapa final'!$S$18="Muy Alta",'Mapa final'!$W$18="Menor"),CONCATENATE("R",'Mapa final'!$A$18),"")</f>
        <v/>
      </c>
      <c r="S13" s="379"/>
      <c r="T13" s="379" t="str">
        <f>IF(AND('Mapa final'!$S$19="Muy Alta",'Mapa final'!$W$19="Menor"),CONCATENATE("R",'Mapa final'!$A$19),"")</f>
        <v/>
      </c>
      <c r="U13" s="379"/>
      <c r="V13" s="379" t="str">
        <f>IF(AND('Mapa final'!$S$20="Muy Alta",'Mapa final'!$W$20="Menor"),CONCATENATE("R",'Mapa final'!$A$20),"")</f>
        <v/>
      </c>
      <c r="W13" s="379"/>
      <c r="X13" s="378" t="str">
        <f>IF(AND('Mapa final'!$S$18="Muy Alta",'Mapa final'!$W$18="Moderado"),CONCATENATE("R",'Mapa final'!$A$18),"")</f>
        <v/>
      </c>
      <c r="Y13" s="379"/>
      <c r="Z13" s="379" t="str">
        <f>IF(AND('Mapa final'!$S$19="Muy Alta",'Mapa final'!$W$19="Moderado"),CONCATENATE("R",'Mapa final'!$A$19),"")</f>
        <v/>
      </c>
      <c r="AA13" s="379"/>
      <c r="AB13" s="379" t="str">
        <f>IF(AND('Mapa final'!$S$20="Muy Alta",'Mapa final'!$W$20="Moderado"),CONCATENATE("R",'Mapa final'!$A$20),"")</f>
        <v/>
      </c>
      <c r="AC13" s="379"/>
      <c r="AD13" s="378" t="str">
        <f>IF(AND('Mapa final'!$S$18="Muy Alta",'Mapa final'!$W$18="Mayor"),CONCATENATE("R",'Mapa final'!$A$18),"")</f>
        <v/>
      </c>
      <c r="AE13" s="379"/>
      <c r="AF13" s="379" t="str">
        <f>IF(AND('Mapa final'!$S$19="Muy Alta",'Mapa final'!$W$19="Mayor"),CONCATENATE("R",'Mapa final'!$A$19),"")</f>
        <v/>
      </c>
      <c r="AG13" s="379"/>
      <c r="AH13" s="379" t="str">
        <f>IF(AND('Mapa final'!$S$20="Muy Alta",'Mapa final'!$W$20="Mayor"),CONCATENATE("R",'Mapa final'!$D$20),"")</f>
        <v>R3</v>
      </c>
      <c r="AI13" s="379"/>
      <c r="AJ13" s="369" t="str">
        <f>IF(AND('Mapa final'!$S$18="Muy Alta",'Mapa final'!$W$18="Catastrófico"),CONCATENATE("R",'Mapa final'!$A$18),"")</f>
        <v/>
      </c>
      <c r="AK13" s="370"/>
      <c r="AL13" s="370" t="str">
        <f>IF(AND('Mapa final'!$S$19="Muy Alta",'Mapa final'!$W$19="Catastrófico"),CONCATENATE("R",'Mapa final'!$A$19),"")</f>
        <v/>
      </c>
      <c r="AM13" s="370"/>
      <c r="AN13" s="370" t="str">
        <f>IF(AND('Mapa final'!$S$20="Muy Alta",'Mapa final'!$N$20="Catastrófico"),CONCATENATE("R",'Mapa final'!$A$20),"")</f>
        <v/>
      </c>
      <c r="AO13" s="371"/>
      <c r="AP13" s="69"/>
      <c r="AQ13" s="424"/>
      <c r="AR13" s="425"/>
      <c r="AS13" s="425"/>
      <c r="AT13" s="425"/>
      <c r="AU13" s="425"/>
      <c r="AV13" s="426"/>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419"/>
      <c r="E14" s="419"/>
      <c r="F14" s="420"/>
      <c r="G14" s="391"/>
      <c r="H14" s="392"/>
      <c r="I14" s="392"/>
      <c r="J14" s="392"/>
      <c r="K14" s="392"/>
      <c r="L14" s="378"/>
      <c r="M14" s="379"/>
      <c r="N14" s="379"/>
      <c r="O14" s="379"/>
      <c r="P14" s="379"/>
      <c r="Q14" s="380"/>
      <c r="R14" s="378"/>
      <c r="S14" s="379"/>
      <c r="T14" s="379"/>
      <c r="U14" s="379"/>
      <c r="V14" s="379"/>
      <c r="W14" s="379"/>
      <c r="X14" s="378"/>
      <c r="Y14" s="379"/>
      <c r="Z14" s="379"/>
      <c r="AA14" s="379"/>
      <c r="AB14" s="379"/>
      <c r="AC14" s="379"/>
      <c r="AD14" s="378"/>
      <c r="AE14" s="379"/>
      <c r="AF14" s="379"/>
      <c r="AG14" s="379"/>
      <c r="AH14" s="379"/>
      <c r="AI14" s="379"/>
      <c r="AJ14" s="369"/>
      <c r="AK14" s="370"/>
      <c r="AL14" s="370"/>
      <c r="AM14" s="370"/>
      <c r="AN14" s="370"/>
      <c r="AO14" s="371"/>
      <c r="AP14" s="69"/>
      <c r="AQ14" s="424"/>
      <c r="AR14" s="425"/>
      <c r="AS14" s="425"/>
      <c r="AT14" s="425"/>
      <c r="AU14" s="425"/>
      <c r="AV14" s="426"/>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419"/>
      <c r="E15" s="419"/>
      <c r="F15" s="420"/>
      <c r="G15" s="391"/>
      <c r="H15" s="392"/>
      <c r="I15" s="392"/>
      <c r="J15" s="392"/>
      <c r="K15" s="392"/>
      <c r="L15" s="378" t="str">
        <f>IF(AND('Mapa final'!$S$23="Muy Alta",'Mapa final'!$W$23="Leve"),CONCATENATE("R",'Mapa final'!$A$23),"")</f>
        <v/>
      </c>
      <c r="M15" s="379"/>
      <c r="N15" s="379" t="str">
        <f>IF(AND('Mapa final'!$N$24="Muy Alta",'Mapa final'!$R$24="Leve"),CONCATENATE("R",'Mapa final'!$A$24),"")</f>
        <v/>
      </c>
      <c r="O15" s="379"/>
      <c r="P15" s="379" t="str">
        <f>IF(AND('Mapa final'!$N$25="Muy Alta",'Mapa final'!$R$25="Leve"),CONCATENATE("R",'Mapa final'!$A$25),"")</f>
        <v/>
      </c>
      <c r="Q15" s="380"/>
      <c r="R15" s="378" t="str">
        <f>IF(AND('Mapa final'!$S$23="Muy Alta",'Mapa final'!$W$23="Menor"),CONCATENATE("R",'Mapa final'!$A$23),"")</f>
        <v/>
      </c>
      <c r="S15" s="379"/>
      <c r="T15" s="379" t="str">
        <f>IF(AND('Mapa final'!$LU$24="Muy Alta",'Mapa final'!$W$24="Menor"),CONCATENATE("R",'Mapa final'!$A$24),"")</f>
        <v/>
      </c>
      <c r="U15" s="379"/>
      <c r="V15" s="379" t="str">
        <f>IF(AND('Mapa final'!$S$25="Muy Alta",'Mapa final'!$W$25="Menor"),CONCATENATE("R",'Mapa final'!$A$25),"")</f>
        <v/>
      </c>
      <c r="W15" s="379"/>
      <c r="X15" s="378" t="str">
        <f>IF(AND('Mapa final'!$S$23="Muy Alta",'Mapa final'!$W$23="Moderado"),CONCATENATE("R",'Mapa final'!$A$23),"")</f>
        <v/>
      </c>
      <c r="Y15" s="379"/>
      <c r="Z15" s="379" t="str">
        <f>IF(AND('Mapa final'!$S$24="Muy Alta",'Mapa final'!$W$24="Moderado"),CONCATENATE("R",'Mapa final'!$A$24),"")</f>
        <v/>
      </c>
      <c r="AA15" s="379"/>
      <c r="AB15" s="379" t="str">
        <f>IF(AND('Mapa final'!$S$25="Muy Alta",'Mapa final'!$W$25="Moderado"),CONCATENATE("R",'Mapa final'!$A$25),"")</f>
        <v/>
      </c>
      <c r="AC15" s="379"/>
      <c r="AD15" s="378" t="str">
        <f>IF(AND('Mapa final'!$S$23="Muy Alta",'Mapa final'!$W$23="Mayor"),CONCATENATE("R",'Mapa final'!$A$23),"")</f>
        <v/>
      </c>
      <c r="AE15" s="379"/>
      <c r="AF15" s="379" t="str">
        <f>IF(AND('Mapa final'!$S$24="Muy Alta",'Mapa final'!$W$24="Mayor"),CONCATENATE("R",'Mapa final'!$A$24),"")</f>
        <v/>
      </c>
      <c r="AG15" s="379"/>
      <c r="AH15" s="379" t="str">
        <f>IF(AND('Mapa final'!$S$25="Muy Alta",'Mapa final'!$W$25="Mayor"),CONCATENATE("R",'Mapa final'!$A$25),"")</f>
        <v/>
      </c>
      <c r="AI15" s="379"/>
      <c r="AJ15" s="369" t="str">
        <f>IF(AND('Mapa final'!$S$23="Muy Alta",'Mapa final'!$W$23="Catastrófico"),CONCATENATE("R",'Mapa final'!$D$23),"")</f>
        <v>R5</v>
      </c>
      <c r="AK15" s="370"/>
      <c r="AL15" s="370" t="str">
        <f>IF(AND('Mapa final'!$S$24="Muy Alta",'Mapa final'!$W$24="Catastrófico"),CONCATENATE("R",'Mapa final'!$D$24),"")</f>
        <v/>
      </c>
      <c r="AM15" s="370"/>
      <c r="AN15" s="370" t="str">
        <f>IF(AND('Mapa final'!$S$25="Muy Alta",'Mapa final'!$W$25="Catastrófico"),CONCATENATE("R",'Mapa final'!$A$25),"")</f>
        <v/>
      </c>
      <c r="AO15" s="371"/>
      <c r="AP15" s="69"/>
      <c r="AQ15" s="424"/>
      <c r="AR15" s="425"/>
      <c r="AS15" s="425"/>
      <c r="AT15" s="425"/>
      <c r="AU15" s="425"/>
      <c r="AV15" s="426"/>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419"/>
      <c r="E16" s="419"/>
      <c r="F16" s="420"/>
      <c r="G16" s="391"/>
      <c r="H16" s="392"/>
      <c r="I16" s="392"/>
      <c r="J16" s="392"/>
      <c r="K16" s="392"/>
      <c r="L16" s="378"/>
      <c r="M16" s="379"/>
      <c r="N16" s="379"/>
      <c r="O16" s="379"/>
      <c r="P16" s="379"/>
      <c r="Q16" s="380"/>
      <c r="R16" s="378"/>
      <c r="S16" s="379"/>
      <c r="T16" s="379"/>
      <c r="U16" s="379"/>
      <c r="V16" s="379"/>
      <c r="W16" s="379"/>
      <c r="X16" s="378"/>
      <c r="Y16" s="379"/>
      <c r="Z16" s="379"/>
      <c r="AA16" s="379"/>
      <c r="AB16" s="379"/>
      <c r="AC16" s="379"/>
      <c r="AD16" s="378"/>
      <c r="AE16" s="379"/>
      <c r="AF16" s="379"/>
      <c r="AG16" s="379"/>
      <c r="AH16" s="379"/>
      <c r="AI16" s="379"/>
      <c r="AJ16" s="369"/>
      <c r="AK16" s="370"/>
      <c r="AL16" s="370"/>
      <c r="AM16" s="370"/>
      <c r="AN16" s="370"/>
      <c r="AO16" s="371"/>
      <c r="AP16" s="69"/>
      <c r="AQ16" s="424"/>
      <c r="AR16" s="425"/>
      <c r="AS16" s="425"/>
      <c r="AT16" s="425"/>
      <c r="AU16" s="425"/>
      <c r="AV16" s="426"/>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419"/>
      <c r="E17" s="419"/>
      <c r="F17" s="420"/>
      <c r="G17" s="391"/>
      <c r="H17" s="392"/>
      <c r="I17" s="392"/>
      <c r="J17" s="392"/>
      <c r="K17" s="392"/>
      <c r="L17" s="378" t="str">
        <f>IF(AND('Mapa final'!$S$26="Muy Alta",'Mapa final'!$W$26="Leve"),CONCATENATE("R",'Mapa final'!$A$26),"")</f>
        <v/>
      </c>
      <c r="M17" s="379"/>
      <c r="N17" s="379" t="str">
        <f>IF(AND('Mapa final'!$N$27="Muy Alta",'Mapa final'!$R$27="Leve"),CONCATENATE("R",'Mapa final'!$A$27),"")</f>
        <v/>
      </c>
      <c r="O17" s="379"/>
      <c r="P17" s="379" t="str">
        <f>IF(AND('Mapa final'!$N$28="Muy Alta",'Mapa final'!$R$28="Leve"),CONCATENATE("R",'Mapa final'!$A$28),"")</f>
        <v/>
      </c>
      <c r="Q17" s="380"/>
      <c r="R17" s="378" t="str">
        <f>IF(AND('Mapa final'!$S$26="Muy Alta",'Mapa final'!$W$26="Menor"),CONCATENATE("R",'Mapa final'!$A$26),"")</f>
        <v/>
      </c>
      <c r="S17" s="379"/>
      <c r="T17" s="379" t="str">
        <f>IF(AND('Mapa final'!$S$27="Muy Alta",'Mapa final'!$W$27="Menor"),CONCATENATE("R",'Mapa final'!$A$27),"")</f>
        <v/>
      </c>
      <c r="U17" s="379"/>
      <c r="V17" s="379" t="str">
        <f>IF(AND('Mapa final'!$S$28="Muy Alta",'Mapa final'!$W$28="Menor"),CONCATENATE("R",'Mapa final'!$A$28),"")</f>
        <v/>
      </c>
      <c r="W17" s="379"/>
      <c r="X17" s="378" t="str">
        <f>IF(AND('Mapa final'!$S$26="Muy Alta",'Mapa final'!$W$26="Moderado"),CONCATENATE("R",'Mapa final'!$A$26),"")</f>
        <v/>
      </c>
      <c r="Y17" s="379"/>
      <c r="Z17" s="379" t="str">
        <f>IF(AND('Mapa final'!$S$27="Muy Alta",'Mapa final'!$W$27="Moderado"),CONCATENATE("R",'Mapa final'!$A$27),"")</f>
        <v/>
      </c>
      <c r="AA17" s="379"/>
      <c r="AB17" s="379" t="str">
        <f>IF(AND('Mapa final'!$S$28="Muy Alta",'Mapa final'!$W$28="Moderado"),CONCATENATE("R",'Mapa final'!$A$28),"")</f>
        <v/>
      </c>
      <c r="AC17" s="379"/>
      <c r="AD17" s="378" t="str">
        <f>IF(AND('Mapa final'!$S$26="Muy Alta",'Mapa final'!$W$26="Mayor"),CONCATENATE("R",'Mapa final'!$A$26),"")</f>
        <v/>
      </c>
      <c r="AE17" s="379"/>
      <c r="AF17" s="379" t="str">
        <f>IF(AND('Mapa final'!$S$27="Muy Alta",'Mapa final'!$W$27="Mayor"),CONCATENATE("R",'Mapa final'!$A$27),"")</f>
        <v/>
      </c>
      <c r="AG17" s="379"/>
      <c r="AH17" s="379" t="str">
        <f>IF(AND('Mapa final'!$S$28="Muy Alta",'Mapa final'!$W$28="Mayor"),CONCATENATE("R",'Mapa final'!$A$28),"")</f>
        <v/>
      </c>
      <c r="AI17" s="379"/>
      <c r="AJ17" s="369" t="str">
        <f>IF(AND('Mapa final'!$S$26="Muy Alta",'Mapa final'!$W$26="Catastrófico"),CONCATENATE("R",'Mapa final'!$A$26),"")</f>
        <v/>
      </c>
      <c r="AK17" s="370"/>
      <c r="AL17" s="370" t="str">
        <f>IF(AND('Mapa final'!$S$27="Muy Alta",'Mapa final'!$W$27="Catastrófico"),CONCATENATE("R",'Mapa final'!$A$27),"")</f>
        <v/>
      </c>
      <c r="AM17" s="370"/>
      <c r="AN17" s="370" t="str">
        <f>IF(AND('Mapa final'!$S$28="Muy Alta",'Mapa final'!$W$28="Catastrófico"),CONCATENATE("R",'Mapa final'!$A$28),"")</f>
        <v/>
      </c>
      <c r="AO17" s="371"/>
      <c r="AP17" s="69"/>
      <c r="AQ17" s="424"/>
      <c r="AR17" s="425"/>
      <c r="AS17" s="425"/>
      <c r="AT17" s="425"/>
      <c r="AU17" s="425"/>
      <c r="AV17" s="426"/>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419"/>
      <c r="E18" s="419"/>
      <c r="F18" s="420"/>
      <c r="G18" s="394"/>
      <c r="H18" s="395"/>
      <c r="I18" s="395"/>
      <c r="J18" s="395"/>
      <c r="K18" s="395"/>
      <c r="L18" s="381"/>
      <c r="M18" s="382"/>
      <c r="N18" s="382"/>
      <c r="O18" s="382"/>
      <c r="P18" s="382"/>
      <c r="Q18" s="383"/>
      <c r="R18" s="381"/>
      <c r="S18" s="382"/>
      <c r="T18" s="382"/>
      <c r="U18" s="382"/>
      <c r="V18" s="382"/>
      <c r="W18" s="382"/>
      <c r="X18" s="378"/>
      <c r="Y18" s="379"/>
      <c r="Z18" s="379"/>
      <c r="AA18" s="379"/>
      <c r="AB18" s="379"/>
      <c r="AC18" s="379"/>
      <c r="AD18" s="378"/>
      <c r="AE18" s="379"/>
      <c r="AF18" s="379"/>
      <c r="AG18" s="379"/>
      <c r="AH18" s="379"/>
      <c r="AI18" s="379"/>
      <c r="AJ18" s="369"/>
      <c r="AK18" s="370"/>
      <c r="AL18" s="370"/>
      <c r="AM18" s="370"/>
      <c r="AN18" s="370"/>
      <c r="AO18" s="371"/>
      <c r="AP18" s="69"/>
      <c r="AQ18" s="427"/>
      <c r="AR18" s="428"/>
      <c r="AS18" s="428"/>
      <c r="AT18" s="428"/>
      <c r="AU18" s="428"/>
      <c r="AV18" s="42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419"/>
      <c r="E19" s="419"/>
      <c r="F19" s="420"/>
      <c r="G19" s="387" t="s">
        <v>114</v>
      </c>
      <c r="H19" s="389"/>
      <c r="I19" s="389"/>
      <c r="J19" s="389"/>
      <c r="K19" s="389"/>
      <c r="L19" s="366" t="str">
        <f>IF(AND('Mapa final'!$S$15="Alta",'Mapa final'!$W$15="Leve"),CONCATENATE("R",'Mapa final'!$A$15),"")</f>
        <v/>
      </c>
      <c r="M19" s="367"/>
      <c r="N19" s="367" t="str">
        <f>IF(AND('Mapa final'!$N$16="Alta",'Mapa final'!$R$16="Leve"),CONCATENATE("R",'Mapa final'!$A$16),"")</f>
        <v/>
      </c>
      <c r="O19" s="367"/>
      <c r="P19" s="367" t="str">
        <f>IF(AND('Mapa final'!$N$17="Alta",'Mapa final'!$R$17="Leve"),CONCATENATE("R",'Mapa final'!$A$17),"")</f>
        <v/>
      </c>
      <c r="Q19" s="368"/>
      <c r="R19" s="366" t="str">
        <f>IF(AND('Mapa final'!$S$15="Alta",'Mapa final'!$W$15="Menor"),CONCATENATE("R",'Mapa final'!$A$15),"")</f>
        <v/>
      </c>
      <c r="S19" s="367"/>
      <c r="T19" s="361" t="str">
        <f>IF(AND('Mapa final'!$S$16="Alta",'Mapa final'!$W$16="Menor"),CONCATENATE("R",'Mapa final'!$A$16),"")</f>
        <v/>
      </c>
      <c r="U19" s="361"/>
      <c r="V19" s="361" t="str">
        <f>IF(AND('Mapa final'!$S$17="Alta",'Mapa final'!$W$17="Menor"),CONCATENATE("R",'Mapa final'!$A$17),"")</f>
        <v/>
      </c>
      <c r="W19" s="361"/>
      <c r="X19" s="384" t="str">
        <f>IF(AND('Mapa final'!$S$15="Alta",'Mapa final'!$W$15="Moderado"),CONCATENATE("R",'Mapa final'!$A$15),"")</f>
        <v/>
      </c>
      <c r="Y19" s="385"/>
      <c r="Z19" s="385" t="str">
        <f>IF(AND('Mapa final'!S$16="Alta",'Mapa final'!$W$16="Moderado"),CONCATENATE("R",'Mapa final'!$A$16),"")</f>
        <v/>
      </c>
      <c r="AA19" s="385"/>
      <c r="AB19" s="385" t="str">
        <f>IF(AND('Mapa final'!$S$17="Alta",'Mapa final'!$W$17="Moderado"),CONCATENATE("R",'Mapa final'!$A$17),"")</f>
        <v/>
      </c>
      <c r="AC19" s="385"/>
      <c r="AD19" s="384" t="str">
        <f>IF(AND('Mapa final'!$S$15="Alta",'Mapa final'!$W$15="Mayor"),CONCATENATE("R",'Mapa final'!$A$15),"")</f>
        <v/>
      </c>
      <c r="AE19" s="385"/>
      <c r="AF19" s="385" t="str">
        <f>IF(AND('Mapa final'!$S$16="Alta",'Mapa final'!$W$16="Mayor"),CONCATENATE("R",'Mapa final'!$D$16),"")</f>
        <v/>
      </c>
      <c r="AG19" s="385"/>
      <c r="AH19" s="385" t="str">
        <f>IF(AND('Mapa final'!$S$17="Alta",'Mapa final'!$W$17="Mayor"),CONCATENATE("R",'Mapa final'!$A$17),"")</f>
        <v/>
      </c>
      <c r="AI19" s="385"/>
      <c r="AJ19" s="375" t="str">
        <f>IF(AND('Mapa final'!$S$15="Alta",'Mapa final'!$W$15="Catastrófico"),CONCATENATE("R",'Mapa final'!$D$15),"")</f>
        <v>R1</v>
      </c>
      <c r="AK19" s="376"/>
      <c r="AL19" s="376" t="str">
        <f>IF(AND('Mapa final'!$S$16="Alta",'Mapa final'!$W$16="Catastrófico"),CONCATENATE("R",'Mapa final'!$D$16),"")</f>
        <v/>
      </c>
      <c r="AM19" s="376"/>
      <c r="AN19" s="376" t="str">
        <f>IF(AND('Mapa final'!$S$17="Alta",'Mapa final'!$W$17="Catastrófico"),CONCATENATE("R",'Mapa final'!$A$17),"")</f>
        <v/>
      </c>
      <c r="AO19" s="377"/>
      <c r="AP19" s="69"/>
      <c r="AQ19" s="430" t="s">
        <v>79</v>
      </c>
      <c r="AR19" s="431"/>
      <c r="AS19" s="431"/>
      <c r="AT19" s="431"/>
      <c r="AU19" s="431"/>
      <c r="AV19" s="432"/>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419"/>
      <c r="E20" s="419"/>
      <c r="F20" s="420"/>
      <c r="G20" s="391"/>
      <c r="H20" s="392"/>
      <c r="I20" s="392"/>
      <c r="J20" s="392"/>
      <c r="K20" s="392"/>
      <c r="L20" s="360"/>
      <c r="M20" s="361"/>
      <c r="N20" s="361"/>
      <c r="O20" s="361"/>
      <c r="P20" s="361"/>
      <c r="Q20" s="362"/>
      <c r="R20" s="360"/>
      <c r="S20" s="361"/>
      <c r="T20" s="361"/>
      <c r="U20" s="361"/>
      <c r="V20" s="361"/>
      <c r="W20" s="361"/>
      <c r="X20" s="378"/>
      <c r="Y20" s="379"/>
      <c r="Z20" s="379"/>
      <c r="AA20" s="379"/>
      <c r="AB20" s="379"/>
      <c r="AC20" s="379"/>
      <c r="AD20" s="378"/>
      <c r="AE20" s="379"/>
      <c r="AF20" s="379"/>
      <c r="AG20" s="379"/>
      <c r="AH20" s="379"/>
      <c r="AI20" s="379"/>
      <c r="AJ20" s="369"/>
      <c r="AK20" s="370"/>
      <c r="AL20" s="370"/>
      <c r="AM20" s="370"/>
      <c r="AN20" s="370"/>
      <c r="AO20" s="371"/>
      <c r="AP20" s="69"/>
      <c r="AQ20" s="433"/>
      <c r="AR20" s="434"/>
      <c r="AS20" s="434"/>
      <c r="AT20" s="434"/>
      <c r="AU20" s="434"/>
      <c r="AV20" s="435"/>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419"/>
      <c r="E21" s="419"/>
      <c r="F21" s="420"/>
      <c r="G21" s="391"/>
      <c r="H21" s="392"/>
      <c r="I21" s="392"/>
      <c r="J21" s="392"/>
      <c r="K21" s="392"/>
      <c r="L21" s="360" t="str">
        <f>IF(AND('Mapa final'!$S$18="Alta",'Mapa final'!$W$18="Leve"),CONCATENATE("R",'Mapa final'!$A$18),"")</f>
        <v/>
      </c>
      <c r="M21" s="361"/>
      <c r="N21" s="361" t="str">
        <f>IF(AND('Mapa final'!$N$19="Alta",'Mapa final'!$R$19="Leve"),CONCATENATE("R",'Mapa final'!$A$19),"")</f>
        <v/>
      </c>
      <c r="O21" s="361"/>
      <c r="P21" s="361" t="str">
        <f>IF(AND('Mapa final'!$N$20="Alta",'Mapa final'!$R$20="Leve"),CONCATENATE("R",'Mapa final'!$A$20),"")</f>
        <v/>
      </c>
      <c r="Q21" s="362"/>
      <c r="R21" s="360" t="str">
        <f>IF(AND('Mapa final'!$S$18="Alta",'Mapa final'!$W$18="Menor"),CONCATENATE("R",'Mapa final'!$A$18),"")</f>
        <v/>
      </c>
      <c r="S21" s="361"/>
      <c r="T21" s="361" t="str">
        <f>IF(AND('Mapa final'!$S$19="Alta",'Mapa final'!$W$19="Menor"),CONCATENATE("R",'Mapa final'!$A$19),"")</f>
        <v/>
      </c>
      <c r="U21" s="361"/>
      <c r="V21" s="361" t="str">
        <f>IF(AND('Mapa final'!$S$20="Alta",'Mapa final'!$W$20="Menor"),CONCATENATE("R",'Mapa final'!$A$20),"")</f>
        <v/>
      </c>
      <c r="W21" s="361"/>
      <c r="X21" s="378" t="str">
        <f>IF(AND('Mapa final'!$S$18="Alta",'Mapa final'!$W$18="Moderado"),CONCATENATE("R",'Mapa final'!$A$18),"")</f>
        <v/>
      </c>
      <c r="Y21" s="379"/>
      <c r="Z21" s="379" t="str">
        <f>IF(AND('Mapa final'!$S$19="Alta",'Mapa final'!$W$19="Moderado"),CONCATENATE("R",'Mapa final'!$A$19),"")</f>
        <v/>
      </c>
      <c r="AA21" s="379"/>
      <c r="AB21" s="379" t="str">
        <f>IF(AND('Mapa final'!$S$20="Alta",'Mapa final'!$W$20="Moderado"),CONCATENATE("R",'Mapa final'!$A$20),"")</f>
        <v/>
      </c>
      <c r="AC21" s="379"/>
      <c r="AD21" s="378" t="str">
        <f>IF(AND('Mapa final'!$S$18="Alta",'Mapa final'!$W$18="Mayor"),CONCATENATE("R",'Mapa final'!$A$18),"")</f>
        <v/>
      </c>
      <c r="AE21" s="379"/>
      <c r="AF21" s="379" t="str">
        <f>IF(AND('Mapa final'!$S$19="Alta",'Mapa final'!$W$19="Mayor"),CONCATENATE("R",'Mapa final'!$A$19),"")</f>
        <v/>
      </c>
      <c r="AG21" s="379"/>
      <c r="AH21" s="379" t="str">
        <f>IF(AND('Mapa final'!$S$20="Alta",'Mapa final'!$W$20="Mayor"),CONCATENATE("R",'Mapa final'!$A$20),"")</f>
        <v/>
      </c>
      <c r="AI21" s="379"/>
      <c r="AJ21" s="369" t="str">
        <f>IF(AND('Mapa final'!$S$21="Alta",'Mapa final'!$W$21="Catastrófico"),CONCATENATE("R",'Mapa final'!$D$21),"")</f>
        <v>R4</v>
      </c>
      <c r="AK21" s="370"/>
      <c r="AL21" s="370" t="str">
        <f>IF(AND('Mapa final'!$S$19="Alta",'Mapa final'!$W$19="Catastrófico"),CONCATENATE("R",'Mapa final'!$D$19),"")</f>
        <v/>
      </c>
      <c r="AM21" s="370"/>
      <c r="AN21" s="370" t="str">
        <f>IF(AND('Mapa final'!$S$20="Alta",'Mapa final'!$N$20="Catastrófico"),CONCATENATE("R",'Mapa final'!$A$20),"")</f>
        <v/>
      </c>
      <c r="AO21" s="371"/>
      <c r="AP21" s="69"/>
      <c r="AQ21" s="433"/>
      <c r="AR21" s="434"/>
      <c r="AS21" s="434"/>
      <c r="AT21" s="434"/>
      <c r="AU21" s="434"/>
      <c r="AV21" s="435"/>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419"/>
      <c r="E22" s="419"/>
      <c r="F22" s="420"/>
      <c r="G22" s="391"/>
      <c r="H22" s="392"/>
      <c r="I22" s="392"/>
      <c r="J22" s="392"/>
      <c r="K22" s="392"/>
      <c r="L22" s="360"/>
      <c r="M22" s="361"/>
      <c r="N22" s="361"/>
      <c r="O22" s="361"/>
      <c r="P22" s="361"/>
      <c r="Q22" s="362"/>
      <c r="R22" s="360"/>
      <c r="S22" s="361"/>
      <c r="T22" s="361"/>
      <c r="U22" s="361"/>
      <c r="V22" s="361"/>
      <c r="W22" s="361"/>
      <c r="X22" s="378"/>
      <c r="Y22" s="379"/>
      <c r="Z22" s="379"/>
      <c r="AA22" s="379"/>
      <c r="AB22" s="379"/>
      <c r="AC22" s="379"/>
      <c r="AD22" s="378"/>
      <c r="AE22" s="379"/>
      <c r="AF22" s="379"/>
      <c r="AG22" s="379"/>
      <c r="AH22" s="379"/>
      <c r="AI22" s="379"/>
      <c r="AJ22" s="369"/>
      <c r="AK22" s="370"/>
      <c r="AL22" s="370"/>
      <c r="AM22" s="370"/>
      <c r="AN22" s="370"/>
      <c r="AO22" s="371"/>
      <c r="AP22" s="69"/>
      <c r="AQ22" s="433"/>
      <c r="AR22" s="434"/>
      <c r="AS22" s="434"/>
      <c r="AT22" s="434"/>
      <c r="AU22" s="434"/>
      <c r="AV22" s="435"/>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419"/>
      <c r="E23" s="419"/>
      <c r="F23" s="420"/>
      <c r="G23" s="391"/>
      <c r="H23" s="392"/>
      <c r="I23" s="392"/>
      <c r="J23" s="392"/>
      <c r="K23" s="392"/>
      <c r="L23" s="360" t="str">
        <f>IF(AND('Mapa final'!$S$23="Alta",'Mapa final'!$W$23="Leve"),CONCATENATE("R",'Mapa final'!$A$23),"")</f>
        <v/>
      </c>
      <c r="M23" s="361"/>
      <c r="N23" s="361" t="str">
        <f>IF(AND('Mapa final'!$N$24="Alta",'Mapa final'!$R$24="Leve"),CONCATENATE("R",'Mapa final'!$A$24),"")</f>
        <v/>
      </c>
      <c r="O23" s="361"/>
      <c r="P23" s="361" t="str">
        <f>IF(AND('Mapa final'!$N$25="Alta",'Mapa final'!$R$25="Leve"),CONCATENATE("R",'Mapa final'!$A$25),"")</f>
        <v/>
      </c>
      <c r="Q23" s="362"/>
      <c r="R23" s="360" t="str">
        <f>IF(AND('Mapa final'!$S$23="Alta",'Mapa final'!$W$23="Menor"),CONCATENATE("R",'Mapa final'!$A$23),"")</f>
        <v/>
      </c>
      <c r="S23" s="361"/>
      <c r="T23" s="361" t="str">
        <f>IF(AND('Mapa final'!$LU$24="Alta",'Mapa final'!$W$24="Menor"),CONCATENATE("R",'Mapa final'!$A$24),"")</f>
        <v/>
      </c>
      <c r="U23" s="361"/>
      <c r="V23" s="361" t="str">
        <f>IF(AND('Mapa final'!$S$25="Alta",'Mapa final'!$W$25="Menor"),CONCATENATE("R",'Mapa final'!$A$25),"")</f>
        <v/>
      </c>
      <c r="W23" s="361"/>
      <c r="X23" s="378" t="str">
        <f>IF(AND('Mapa final'!$S$23="Alta",'Mapa final'!$W$23="Moderado"),CONCATENATE("R",'Mapa final'!$A$23),"")</f>
        <v/>
      </c>
      <c r="Y23" s="379"/>
      <c r="Z23" s="379" t="str">
        <f>IF(AND('Mapa final'!$S$24="Alta",'Mapa final'!$W$24="Moderado"),CONCATENATE("R",'Mapa final'!$A$24),"")</f>
        <v/>
      </c>
      <c r="AA23" s="379"/>
      <c r="AB23" s="379" t="str">
        <f>IF(AND('Mapa final'!$S$25="Alta",'Mapa final'!$W$25="Moderado"),CONCATENATE("R",'Mapa final'!$A$25),"")</f>
        <v/>
      </c>
      <c r="AC23" s="379"/>
      <c r="AD23" s="378" t="str">
        <f>IF(AND('Mapa final'!$S$23="Alta",'Mapa final'!$W$23="Mayor"),CONCATENATE("R",'Mapa final'!$A$23),"")</f>
        <v/>
      </c>
      <c r="AE23" s="379"/>
      <c r="AF23" s="379" t="str">
        <f>IF(AND('Mapa final'!$S$24="Alta",'Mapa final'!$W$24="Mayor"),CONCATENATE("R",'Mapa final'!$A$24),"")</f>
        <v/>
      </c>
      <c r="AG23" s="379"/>
      <c r="AH23" s="379" t="str">
        <f>IF(AND('Mapa final'!$S$25="Alta",'Mapa final'!$W$25="Mayor"),CONCATENATE("R",'Mapa final'!$A$25),"")</f>
        <v/>
      </c>
      <c r="AI23" s="379"/>
      <c r="AJ23" s="369" t="str">
        <f>IF(AND('Mapa final'!$S$23="Alta",'Mapa final'!$W$23="Catastrófico"),CONCATENATE("R",'Mapa final'!$A$23),"")</f>
        <v/>
      </c>
      <c r="AK23" s="370"/>
      <c r="AL23" s="370" t="str">
        <f>IF(AND('Mapa final'!$S$24="Alta",'Mapa final'!$W$24="Catastrófico"),CONCATENATE("R",'Mapa final'!$A$24),"")</f>
        <v/>
      </c>
      <c r="AM23" s="370"/>
      <c r="AN23" s="370" t="str">
        <f>IF(AND('Mapa final'!$S$25="Alta",'Mapa final'!$W$25="Catastrófico"),CONCATENATE("R",'Mapa final'!$A$25),"")</f>
        <v/>
      </c>
      <c r="AO23" s="371"/>
      <c r="AP23" s="69"/>
      <c r="AQ23" s="433"/>
      <c r="AR23" s="434"/>
      <c r="AS23" s="434"/>
      <c r="AT23" s="434"/>
      <c r="AU23" s="434"/>
      <c r="AV23" s="435"/>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419"/>
      <c r="E24" s="419"/>
      <c r="F24" s="420"/>
      <c r="G24" s="391"/>
      <c r="H24" s="392"/>
      <c r="I24" s="392"/>
      <c r="J24" s="392"/>
      <c r="K24" s="392"/>
      <c r="L24" s="360"/>
      <c r="M24" s="361"/>
      <c r="N24" s="361"/>
      <c r="O24" s="361"/>
      <c r="P24" s="361"/>
      <c r="Q24" s="362"/>
      <c r="R24" s="360"/>
      <c r="S24" s="361"/>
      <c r="T24" s="361"/>
      <c r="U24" s="361"/>
      <c r="V24" s="361"/>
      <c r="W24" s="361"/>
      <c r="X24" s="378"/>
      <c r="Y24" s="379"/>
      <c r="Z24" s="379"/>
      <c r="AA24" s="379"/>
      <c r="AB24" s="379"/>
      <c r="AC24" s="379"/>
      <c r="AD24" s="378"/>
      <c r="AE24" s="379"/>
      <c r="AF24" s="379"/>
      <c r="AG24" s="379"/>
      <c r="AH24" s="379"/>
      <c r="AI24" s="379"/>
      <c r="AJ24" s="369"/>
      <c r="AK24" s="370"/>
      <c r="AL24" s="370"/>
      <c r="AM24" s="370"/>
      <c r="AN24" s="370"/>
      <c r="AO24" s="371"/>
      <c r="AP24" s="69"/>
      <c r="AQ24" s="433"/>
      <c r="AR24" s="434"/>
      <c r="AS24" s="434"/>
      <c r="AT24" s="434"/>
      <c r="AU24" s="434"/>
      <c r="AV24" s="435"/>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419"/>
      <c r="E25" s="419"/>
      <c r="F25" s="420"/>
      <c r="G25" s="391"/>
      <c r="H25" s="392"/>
      <c r="I25" s="392"/>
      <c r="J25" s="392"/>
      <c r="K25" s="392"/>
      <c r="L25" s="360" t="str">
        <f>IF(AND('Mapa final'!$S$26="Alta",'Mapa final'!$W$26="Leve"),CONCATENATE("R",'Mapa final'!$A$26),"")</f>
        <v/>
      </c>
      <c r="M25" s="361"/>
      <c r="N25" s="361" t="str">
        <f>IF(AND('Mapa final'!$N$27="Alta",'Mapa final'!$R$27="Leve"),CONCATENATE("R",'Mapa final'!$A$27),"")</f>
        <v/>
      </c>
      <c r="O25" s="361"/>
      <c r="P25" s="361" t="str">
        <f>IF(AND('Mapa final'!$N$28="Alta",'Mapa final'!$R$28="Leve"),CONCATENATE("R",'Mapa final'!$A$28),"")</f>
        <v/>
      </c>
      <c r="Q25" s="362"/>
      <c r="R25" s="360" t="str">
        <f>IF(AND('Mapa final'!$S$26="Alta",'Mapa final'!$W$26="Menor"),CONCATENATE("R",'Mapa final'!$A$26),"")</f>
        <v/>
      </c>
      <c r="S25" s="361"/>
      <c r="T25" s="361" t="str">
        <f>IF(AND('Mapa final'!$S$27="Alta",'Mapa final'!$W$27="Menor"),CONCATENATE("R",'Mapa final'!$A$27),"")</f>
        <v/>
      </c>
      <c r="U25" s="361"/>
      <c r="V25" s="361" t="str">
        <f>IF(AND('Mapa final'!$S$28="Alta",'Mapa final'!$W$28="Menor"),CONCATENATE("R",'Mapa final'!$A$28),"")</f>
        <v/>
      </c>
      <c r="W25" s="361"/>
      <c r="X25" s="378" t="str">
        <f>IF(AND('Mapa final'!$S$26="Alta",'Mapa final'!$W$26="Moderado"),CONCATENATE("R",'Mapa final'!$A$26),"")</f>
        <v/>
      </c>
      <c r="Y25" s="379"/>
      <c r="Z25" s="379" t="str">
        <f>IF(AND('Mapa final'!$S$27="Alta",'Mapa final'!$W$27="Moderado"),CONCATENATE("R",'Mapa final'!$A$27),"")</f>
        <v/>
      </c>
      <c r="AA25" s="379"/>
      <c r="AB25" s="379" t="str">
        <f>IF(AND('Mapa final'!$S$28="Alta",'Mapa final'!$W$28="Moderado"),CONCATENATE("R",'Mapa final'!$A$28),"")</f>
        <v/>
      </c>
      <c r="AC25" s="379"/>
      <c r="AD25" s="378" t="str">
        <f>IF(AND('Mapa final'!$S$26="Alta",'Mapa final'!$W$26="Mayor"),CONCATENATE("R",'Mapa final'!$A$26),"")</f>
        <v/>
      </c>
      <c r="AE25" s="379"/>
      <c r="AF25" s="379" t="str">
        <f>IF(AND('Mapa final'!$S$27="Alta",'Mapa final'!$W$27="Mayor"),CONCATENATE("R",'Mapa final'!$A$27),"")</f>
        <v/>
      </c>
      <c r="AG25" s="379"/>
      <c r="AH25" s="379" t="str">
        <f>IF(AND('Mapa final'!$S$28="Alta",'Mapa final'!$W$28="Mayor"),CONCATENATE("R",'Mapa final'!$A$28),"")</f>
        <v/>
      </c>
      <c r="AI25" s="379"/>
      <c r="AJ25" s="369" t="str">
        <f>IF(AND('Mapa final'!$S$26="Alta",'Mapa final'!$W$26="Catastrófico"),CONCATENATE("R",'Mapa final'!$A$26),"")</f>
        <v/>
      </c>
      <c r="AK25" s="370"/>
      <c r="AL25" s="370" t="str">
        <f>IF(AND('Mapa final'!$S$27="Alta",'Mapa final'!$W$27="Catastrófico"),CONCATENATE("R",'Mapa final'!$A$27),"")</f>
        <v/>
      </c>
      <c r="AM25" s="370"/>
      <c r="AN25" s="370" t="str">
        <f>IF(AND('Mapa final'!$S$28="Alta",'Mapa final'!$W$28="Catastrófico"),CONCATENATE("R",'Mapa final'!$A$28),"")</f>
        <v/>
      </c>
      <c r="AO25" s="371"/>
      <c r="AP25" s="69"/>
      <c r="AQ25" s="433"/>
      <c r="AR25" s="434"/>
      <c r="AS25" s="434"/>
      <c r="AT25" s="434"/>
      <c r="AU25" s="434"/>
      <c r="AV25" s="435"/>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419"/>
      <c r="E26" s="419"/>
      <c r="F26" s="420"/>
      <c r="G26" s="394"/>
      <c r="H26" s="395"/>
      <c r="I26" s="395"/>
      <c r="J26" s="395"/>
      <c r="K26" s="395"/>
      <c r="L26" s="363"/>
      <c r="M26" s="364"/>
      <c r="N26" s="364"/>
      <c r="O26" s="364"/>
      <c r="P26" s="364"/>
      <c r="Q26" s="365"/>
      <c r="R26" s="363"/>
      <c r="S26" s="364"/>
      <c r="T26" s="361"/>
      <c r="U26" s="361"/>
      <c r="V26" s="361"/>
      <c r="W26" s="361"/>
      <c r="X26" s="378"/>
      <c r="Y26" s="379"/>
      <c r="Z26" s="379"/>
      <c r="AA26" s="379"/>
      <c r="AB26" s="379"/>
      <c r="AC26" s="379"/>
      <c r="AD26" s="378"/>
      <c r="AE26" s="379"/>
      <c r="AF26" s="379"/>
      <c r="AG26" s="379"/>
      <c r="AH26" s="379"/>
      <c r="AI26" s="379"/>
      <c r="AJ26" s="369"/>
      <c r="AK26" s="370"/>
      <c r="AL26" s="370"/>
      <c r="AM26" s="370"/>
      <c r="AN26" s="370"/>
      <c r="AO26" s="371"/>
      <c r="AP26" s="69"/>
      <c r="AQ26" s="436"/>
      <c r="AR26" s="437"/>
      <c r="AS26" s="437"/>
      <c r="AT26" s="437"/>
      <c r="AU26" s="437"/>
      <c r="AV26" s="438"/>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419"/>
      <c r="E27" s="419"/>
      <c r="F27" s="420"/>
      <c r="G27" s="387" t="s">
        <v>116</v>
      </c>
      <c r="H27" s="389"/>
      <c r="I27" s="389"/>
      <c r="J27" s="389"/>
      <c r="K27" s="389"/>
      <c r="L27" s="366" t="str">
        <f>IF(AND('Mapa final'!$S$15="Media",'Mapa final'!$W$15="Leve"),CONCATENATE("R",'Mapa final'!$A$15),"")</f>
        <v/>
      </c>
      <c r="M27" s="367"/>
      <c r="N27" s="367" t="str">
        <f>IF(AND('Mapa final'!$N$16="Media",'Mapa final'!$R$16="Leve"),CONCATENATE("R",'Mapa final'!$A$16),"")</f>
        <v/>
      </c>
      <c r="O27" s="367"/>
      <c r="P27" s="367" t="str">
        <f>IF(AND('Mapa final'!$S$17="Media",'Mapa final'!$W$17="leve"),CONCATENATE("R",'Mapa final'!$D$17),"")</f>
        <v/>
      </c>
      <c r="Q27" s="368"/>
      <c r="R27" s="366" t="str">
        <f>IF(AND('Mapa final'!$S$15="Media",'Mapa final'!$W$15="Menor"),CONCATENATE("R",'Mapa final'!$A$15),"")</f>
        <v/>
      </c>
      <c r="S27" s="367"/>
      <c r="T27" s="367" t="str">
        <f>IF(AND('Mapa final'!$S$16="Media",'Mapa final'!$W$16="Menor"),CONCATENATE("R",'Mapa final'!$A$16),"")</f>
        <v/>
      </c>
      <c r="U27" s="367"/>
      <c r="V27" s="367" t="str">
        <f>IF(AND('Mapa final'!$S$17="Media",'Mapa final'!$W$17="Menor"),CONCATENATE("R",'Mapa final'!$A$17),"")</f>
        <v/>
      </c>
      <c r="W27" s="367"/>
      <c r="X27" s="366" t="str">
        <f>IF(AND('Mapa final'!$S$15="Media",'Mapa final'!$W$15="Moderado"),CONCATENATE("R",'Mapa final'!$A$15),"")</f>
        <v/>
      </c>
      <c r="Y27" s="367"/>
      <c r="Z27" s="367" t="str">
        <f>IF(AND('Mapa final'!S$16="Media",'Mapa final'!$W$16="Moderado"),CONCATENATE("R",'Mapa final'!$A$16),"")</f>
        <v/>
      </c>
      <c r="AA27" s="367"/>
      <c r="AB27" s="367" t="str">
        <f>IF(AND('Mapa final'!$S$17="Media",'Mapa final'!$W$17="Moderado"),CONCATENATE("R",'Mapa final'!$A$17),"")</f>
        <v/>
      </c>
      <c r="AC27" s="367"/>
      <c r="AD27" s="384" t="str">
        <f>IF(AND('Mapa final'!$S$15="Media",'Mapa final'!$W$15="Mayor"),CONCATENATE("R",'Mapa final'!$D$15),"")</f>
        <v/>
      </c>
      <c r="AE27" s="385"/>
      <c r="AF27" s="385" t="str">
        <f>IF(AND('Mapa final'!$S$16="Media",'Mapa final'!$W$16="Mayor"),CONCATENATE("R",'Mapa final'!$D$16),"")</f>
        <v/>
      </c>
      <c r="AG27" s="385"/>
      <c r="AH27" s="385" t="str">
        <f>IF(AND('Mapa final'!$S$17="Media",'Mapa final'!$W$17="Mayor"),CONCATENATE("R",'Mapa final'!$A$17),"")</f>
        <v/>
      </c>
      <c r="AI27" s="385"/>
      <c r="AJ27" s="375" t="str">
        <f>IF(AND('Mapa final'!$S$15="Media",'Mapa final'!$W$15="Catastrófico"),CONCATENATE("R",'Mapa final'!$A$15),"")</f>
        <v/>
      </c>
      <c r="AK27" s="376"/>
      <c r="AL27" s="376" t="str">
        <f>IF(AND('Mapa final'!$S$16="Media",'Mapa final'!$W$16="Catastrófico"),CONCATENATE("R",'Mapa final'!$A$16),"")</f>
        <v/>
      </c>
      <c r="AM27" s="376"/>
      <c r="AN27" s="376" t="str">
        <f>IF(AND('Mapa final'!$S$17="Media",'Mapa final'!$W$17="Catastrófico"),CONCATENATE("R",'Mapa final'!$A$17),"")</f>
        <v/>
      </c>
      <c r="AO27" s="377"/>
      <c r="AP27" s="69"/>
      <c r="AQ27" s="439" t="s">
        <v>80</v>
      </c>
      <c r="AR27" s="440"/>
      <c r="AS27" s="440"/>
      <c r="AT27" s="440"/>
      <c r="AU27" s="440"/>
      <c r="AV27" s="441"/>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419"/>
      <c r="E28" s="419"/>
      <c r="F28" s="420"/>
      <c r="G28" s="391"/>
      <c r="H28" s="392"/>
      <c r="I28" s="392"/>
      <c r="J28" s="392"/>
      <c r="K28" s="392"/>
      <c r="L28" s="360"/>
      <c r="M28" s="361"/>
      <c r="N28" s="361"/>
      <c r="O28" s="361"/>
      <c r="P28" s="361"/>
      <c r="Q28" s="362"/>
      <c r="R28" s="360"/>
      <c r="S28" s="361"/>
      <c r="T28" s="361"/>
      <c r="U28" s="361"/>
      <c r="V28" s="361"/>
      <c r="W28" s="361"/>
      <c r="X28" s="360"/>
      <c r="Y28" s="361"/>
      <c r="Z28" s="361"/>
      <c r="AA28" s="361"/>
      <c r="AB28" s="361"/>
      <c r="AC28" s="361"/>
      <c r="AD28" s="378"/>
      <c r="AE28" s="379"/>
      <c r="AF28" s="379"/>
      <c r="AG28" s="379"/>
      <c r="AH28" s="379"/>
      <c r="AI28" s="379"/>
      <c r="AJ28" s="369"/>
      <c r="AK28" s="370"/>
      <c r="AL28" s="370"/>
      <c r="AM28" s="370"/>
      <c r="AN28" s="370"/>
      <c r="AO28" s="371"/>
      <c r="AP28" s="69"/>
      <c r="AQ28" s="442"/>
      <c r="AR28" s="443"/>
      <c r="AS28" s="443"/>
      <c r="AT28" s="443"/>
      <c r="AU28" s="443"/>
      <c r="AV28" s="444"/>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419"/>
      <c r="E29" s="419"/>
      <c r="F29" s="420"/>
      <c r="G29" s="391"/>
      <c r="H29" s="392"/>
      <c r="I29" s="392"/>
      <c r="J29" s="392"/>
      <c r="K29" s="392"/>
      <c r="L29" s="360" t="str">
        <f>IF(AND('Mapa final'!$S$18="Media",'Mapa final'!$W$18="Leve"),CONCATENATE("R",'Mapa final'!$A$18),"")</f>
        <v/>
      </c>
      <c r="M29" s="361"/>
      <c r="N29" s="361" t="str">
        <f>IF(AND('Mapa final'!$N$19="Media",'Mapa final'!$R$19="Leve"),CONCATENATE("R",'Mapa final'!$A$19),"")</f>
        <v/>
      </c>
      <c r="O29" s="361"/>
      <c r="P29" s="361" t="str">
        <f>IF(AND('Mapa final'!$N$20="Media",'Mapa final'!$R$20="Leve"),CONCATENATE("R",'Mapa final'!$A$20),"")</f>
        <v/>
      </c>
      <c r="Q29" s="362"/>
      <c r="R29" s="360" t="str">
        <f>IF(AND('Mapa final'!$S$18="Media",'Mapa final'!$W$18="Menor"),CONCATENATE("R",'Mapa final'!$A$18),"")</f>
        <v/>
      </c>
      <c r="S29" s="361"/>
      <c r="T29" s="361" t="str">
        <f>IF(AND('Mapa final'!$S$19="Media",'Mapa final'!$W$19="Menor"),CONCATENATE("R",'Mapa final'!$A$19),"")</f>
        <v/>
      </c>
      <c r="U29" s="361"/>
      <c r="V29" s="361" t="str">
        <f>IF(AND('Mapa final'!$S$20="Media",'Mapa final'!$W$20="Menor"),CONCATENATE("R",'Mapa final'!$A$20),"")</f>
        <v/>
      </c>
      <c r="W29" s="361"/>
      <c r="X29" s="360" t="str">
        <f>IF(AND('Mapa final'!$S$18="Media",'Mapa final'!$W$18="Moderado"),CONCATENATE("R",'Mapa final'!$A$18),"")</f>
        <v/>
      </c>
      <c r="Y29" s="361"/>
      <c r="Z29" s="361" t="str">
        <f>IF(AND('Mapa final'!$S$19="Media",'Mapa final'!$W$19="Moderado"),CONCATENATE("R",'Mapa final'!$A$19),"")</f>
        <v/>
      </c>
      <c r="AA29" s="361"/>
      <c r="AB29" s="361" t="str">
        <f>IF(AND('Mapa final'!$S$20="Media",'Mapa final'!$W$20="Moderado"),CONCATENATE("R",'Mapa final'!$A$20),"")</f>
        <v/>
      </c>
      <c r="AC29" s="361"/>
      <c r="AD29" s="378" t="str">
        <f>IF(AND('Mapa final'!$S$18="Media",'Mapa final'!$W$18="Mayor"),CONCATENATE("R",'Mapa final'!$A$18),"")</f>
        <v/>
      </c>
      <c r="AE29" s="379"/>
      <c r="AF29" s="379" t="str">
        <f>IF(AND('Mapa final'!$S$19="Media",'Mapa final'!$W$19="Mayor"),CONCATENATE("R",'Mapa final'!$D$19),"")</f>
        <v>R2</v>
      </c>
      <c r="AG29" s="379"/>
      <c r="AH29" s="379" t="str">
        <f>IF(AND('Mapa final'!$S$20="Media",'Mapa final'!$W$20="Mayor"),CONCATENATE("R",'Mapa final'!$A$20),"")</f>
        <v/>
      </c>
      <c r="AI29" s="379"/>
      <c r="AJ29" s="369" t="str">
        <f>IF(AND('Mapa final'!$S$18="Media",'Mapa final'!$W$18="Catastrófico"),CONCATENATE("R",'Mapa final'!$D$18),"")</f>
        <v/>
      </c>
      <c r="AK29" s="370"/>
      <c r="AL29" s="370" t="str">
        <f>IF(AND('Mapa final'!$S$19="Media",'Mapa final'!$W$19="Catastrófico"),CONCATENATE("R",'Mapa final'!$A$19),"")</f>
        <v/>
      </c>
      <c r="AM29" s="370"/>
      <c r="AN29" s="370" t="str">
        <f>IF(AND('Mapa final'!$S$20="Media",'Mapa final'!$N$20="Catastrófico"),CONCATENATE("R",'Mapa final'!$A$20),"")</f>
        <v/>
      </c>
      <c r="AO29" s="371"/>
      <c r="AP29" s="69"/>
      <c r="AQ29" s="442"/>
      <c r="AR29" s="443"/>
      <c r="AS29" s="443"/>
      <c r="AT29" s="443"/>
      <c r="AU29" s="443"/>
      <c r="AV29" s="444"/>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419"/>
      <c r="E30" s="419"/>
      <c r="F30" s="420"/>
      <c r="G30" s="391"/>
      <c r="H30" s="392"/>
      <c r="I30" s="392"/>
      <c r="J30" s="392"/>
      <c r="K30" s="392"/>
      <c r="L30" s="360"/>
      <c r="M30" s="361"/>
      <c r="N30" s="361"/>
      <c r="O30" s="361"/>
      <c r="P30" s="361"/>
      <c r="Q30" s="362"/>
      <c r="R30" s="360"/>
      <c r="S30" s="361"/>
      <c r="T30" s="361"/>
      <c r="U30" s="361"/>
      <c r="V30" s="361"/>
      <c r="W30" s="361"/>
      <c r="X30" s="360"/>
      <c r="Y30" s="361"/>
      <c r="Z30" s="361"/>
      <c r="AA30" s="361"/>
      <c r="AB30" s="361"/>
      <c r="AC30" s="361"/>
      <c r="AD30" s="378"/>
      <c r="AE30" s="379"/>
      <c r="AF30" s="379"/>
      <c r="AG30" s="379"/>
      <c r="AH30" s="379"/>
      <c r="AI30" s="379"/>
      <c r="AJ30" s="369"/>
      <c r="AK30" s="370"/>
      <c r="AL30" s="370"/>
      <c r="AM30" s="370"/>
      <c r="AN30" s="370"/>
      <c r="AO30" s="371"/>
      <c r="AP30" s="69"/>
      <c r="AQ30" s="442"/>
      <c r="AR30" s="443"/>
      <c r="AS30" s="443"/>
      <c r="AT30" s="443"/>
      <c r="AU30" s="443"/>
      <c r="AV30" s="444"/>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419"/>
      <c r="E31" s="419"/>
      <c r="F31" s="420"/>
      <c r="G31" s="391"/>
      <c r="H31" s="392"/>
      <c r="I31" s="392"/>
      <c r="J31" s="392"/>
      <c r="K31" s="392"/>
      <c r="L31" s="360" t="str">
        <f>IF(AND('Mapa final'!$S$23="Media",'Mapa final'!$W$23="Leve"),CONCATENATE("R",'Mapa final'!$A$23),"")</f>
        <v/>
      </c>
      <c r="M31" s="361"/>
      <c r="N31" s="361" t="str">
        <f>IF(AND('Mapa final'!$N$24="Media",'Mapa final'!$R$24="Leve"),CONCATENATE("R",'Mapa final'!$A$24),"")</f>
        <v/>
      </c>
      <c r="O31" s="361"/>
      <c r="P31" s="361" t="str">
        <f>IF(AND('Mapa final'!$N$25="Media",'Mapa final'!$R$25="Leve"),CONCATENATE("R",'Mapa final'!$A$25),"")</f>
        <v/>
      </c>
      <c r="Q31" s="362"/>
      <c r="R31" s="360" t="str">
        <f>IF(AND('Mapa final'!$S$23="Media",'Mapa final'!$W$23="Menor"),CONCATENATE("R",'Mapa final'!$A$23),"")</f>
        <v/>
      </c>
      <c r="S31" s="361"/>
      <c r="T31" s="361" t="str">
        <f>IF(AND('Mapa final'!$LU$24="Media",'Mapa final'!$W$24="Menor"),CONCATENATE("R",'Mapa final'!$A$24),"")</f>
        <v/>
      </c>
      <c r="U31" s="361"/>
      <c r="V31" s="361" t="str">
        <f>IF(AND('Mapa final'!$S$25="Media",'Mapa final'!$W$25="Menor"),CONCATENATE("R",'Mapa final'!$A$25),"")</f>
        <v/>
      </c>
      <c r="W31" s="361"/>
      <c r="X31" s="360" t="str">
        <f>IF(AND('Mapa final'!$S$23="Media",'Mapa final'!$W$23="Moderado"),CONCATENATE("R",'Mapa final'!$A$23),"")</f>
        <v/>
      </c>
      <c r="Y31" s="361"/>
      <c r="Z31" s="361" t="str">
        <f>IF(AND('Mapa final'!$S$24="Media",'Mapa final'!$W$24="Moderado"),CONCATENATE("R",'Mapa final'!$A$24),"")</f>
        <v/>
      </c>
      <c r="AA31" s="361"/>
      <c r="AB31" s="361" t="str">
        <f>IF(AND('Mapa final'!$S$25="Media",'Mapa final'!$W$25="Moderado"),CONCATENATE("R",'Mapa final'!$A$25),"")</f>
        <v/>
      </c>
      <c r="AC31" s="361"/>
      <c r="AD31" s="378" t="str">
        <f>IF(AND('Mapa final'!$S$23="Media",'Mapa final'!$W$23="Mayor"),CONCATENATE("R",'Mapa final'!$A$23),"")</f>
        <v/>
      </c>
      <c r="AE31" s="379"/>
      <c r="AF31" s="379" t="str">
        <f>IF(AND('Mapa final'!$S$24="Media",'Mapa final'!$W$24="Mayor"),CONCATENATE("R",'Mapa final'!$A$24),"")</f>
        <v/>
      </c>
      <c r="AG31" s="379"/>
      <c r="AH31" s="379" t="str">
        <f>IF(AND('Mapa final'!$S$25="Media",'Mapa final'!$W$25="Mayor"),CONCATENATE("R",'Mapa final'!$A$25),"")</f>
        <v/>
      </c>
      <c r="AI31" s="379"/>
      <c r="AJ31" s="369" t="str">
        <f>IF(AND('Mapa final'!$S$23="Media",'Mapa final'!$W$23="Catastrófico"),CONCATENATE("R",'Mapa final'!$A$23),"")</f>
        <v/>
      </c>
      <c r="AK31" s="370"/>
      <c r="AL31" s="370" t="str">
        <f>IF(AND('Mapa final'!$S$24="Media",'Mapa final'!$W$24="Catastrófico"),CONCATENATE("R",'Mapa final'!$A$24),"")</f>
        <v/>
      </c>
      <c r="AM31" s="370"/>
      <c r="AN31" s="370" t="str">
        <f>IF(AND('Mapa final'!$S$25="Media",'Mapa final'!$W$25="Catastrófico"),CONCATENATE("R",'Mapa final'!$A$25),"")</f>
        <v/>
      </c>
      <c r="AO31" s="371"/>
      <c r="AP31" s="69"/>
      <c r="AQ31" s="442"/>
      <c r="AR31" s="443"/>
      <c r="AS31" s="443"/>
      <c r="AT31" s="443"/>
      <c r="AU31" s="443"/>
      <c r="AV31" s="444"/>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419"/>
      <c r="E32" s="419"/>
      <c r="F32" s="420"/>
      <c r="G32" s="391"/>
      <c r="H32" s="392"/>
      <c r="I32" s="392"/>
      <c r="J32" s="392"/>
      <c r="K32" s="392"/>
      <c r="L32" s="360"/>
      <c r="M32" s="361"/>
      <c r="N32" s="361"/>
      <c r="O32" s="361"/>
      <c r="P32" s="361"/>
      <c r="Q32" s="362"/>
      <c r="R32" s="360"/>
      <c r="S32" s="361"/>
      <c r="T32" s="361"/>
      <c r="U32" s="361"/>
      <c r="V32" s="361"/>
      <c r="W32" s="361"/>
      <c r="X32" s="360"/>
      <c r="Y32" s="361"/>
      <c r="Z32" s="361"/>
      <c r="AA32" s="361"/>
      <c r="AB32" s="361"/>
      <c r="AC32" s="361"/>
      <c r="AD32" s="378"/>
      <c r="AE32" s="379"/>
      <c r="AF32" s="379"/>
      <c r="AG32" s="379"/>
      <c r="AH32" s="379"/>
      <c r="AI32" s="379"/>
      <c r="AJ32" s="369"/>
      <c r="AK32" s="370"/>
      <c r="AL32" s="370"/>
      <c r="AM32" s="370"/>
      <c r="AN32" s="370"/>
      <c r="AO32" s="371"/>
      <c r="AP32" s="69"/>
      <c r="AQ32" s="442"/>
      <c r="AR32" s="443"/>
      <c r="AS32" s="443"/>
      <c r="AT32" s="443"/>
      <c r="AU32" s="443"/>
      <c r="AV32" s="444"/>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419"/>
      <c r="E33" s="419"/>
      <c r="F33" s="420"/>
      <c r="G33" s="391"/>
      <c r="H33" s="392"/>
      <c r="I33" s="392"/>
      <c r="J33" s="392"/>
      <c r="K33" s="392"/>
      <c r="L33" s="360" t="str">
        <f>IF(AND('Mapa final'!$S$26="Mediaa",'Mapa final'!$W$26="Leve"),CONCATENATE("R",'Mapa final'!$A$26),"")</f>
        <v/>
      </c>
      <c r="M33" s="361"/>
      <c r="N33" s="361" t="str">
        <f>IF(AND('Mapa final'!$N$27="Media",'Mapa final'!$R$27="Leve"),CONCATENATE("R",'Mapa final'!$A$27),"")</f>
        <v/>
      </c>
      <c r="O33" s="361"/>
      <c r="P33" s="361" t="str">
        <f>IF(AND('Mapa final'!$N$28="Media",'Mapa final'!$R$28="Leve"),CONCATENATE("R",'Mapa final'!$A$28),"")</f>
        <v/>
      </c>
      <c r="Q33" s="362"/>
      <c r="R33" s="360" t="str">
        <f>IF(AND('Mapa final'!$S$26="Media",'Mapa final'!$W$26="Menor"),CONCATENATE("R",'Mapa final'!$A$26),"")</f>
        <v/>
      </c>
      <c r="S33" s="361"/>
      <c r="T33" s="361" t="str">
        <f>IF(AND('Mapa final'!$S$27="Media",'Mapa final'!$W$27="Menor"),CONCATENATE("R",'Mapa final'!$A$27),"")</f>
        <v/>
      </c>
      <c r="U33" s="361"/>
      <c r="V33" s="361" t="str">
        <f>IF(AND('Mapa final'!$S$28="Media",'Mapa final'!$W$28="Menor"),CONCATENATE("R",'Mapa final'!$A$28),"")</f>
        <v/>
      </c>
      <c r="W33" s="361"/>
      <c r="X33" s="360" t="str">
        <f>IF(AND('Mapa final'!$S$26="Media",'Mapa final'!$W$26="Moderado"),CONCATENATE("R",'Mapa final'!$A$26),"")</f>
        <v/>
      </c>
      <c r="Y33" s="361"/>
      <c r="Z33" s="361" t="str">
        <f>IF(AND('Mapa final'!$S$27="Media",'Mapa final'!$W$27="Moderado"),CONCATENATE("R",'Mapa final'!$A$27),"")</f>
        <v/>
      </c>
      <c r="AA33" s="361"/>
      <c r="AB33" s="361" t="str">
        <f>IF(AND('Mapa final'!$S$28="Media",'Mapa final'!$W$28="Moderado"),CONCATENATE("R",'Mapa final'!$A$28),"")</f>
        <v/>
      </c>
      <c r="AC33" s="361"/>
      <c r="AD33" s="378" t="str">
        <f>IF(AND('Mapa final'!$S$26="Media",'Mapa final'!$W$26="Mayor"),CONCATENATE("R",'Mapa final'!$A$26),"")</f>
        <v/>
      </c>
      <c r="AE33" s="379"/>
      <c r="AF33" s="379" t="str">
        <f>IF(AND('Mapa final'!$S$27="Media",'Mapa final'!$W$27="Mayor"),CONCATENATE("R",'Mapa final'!$A$27),"")</f>
        <v/>
      </c>
      <c r="AG33" s="379"/>
      <c r="AH33" s="379" t="str">
        <f>IF(AND('Mapa final'!$S$28="Media",'Mapa final'!$W$28="Mayor"),CONCATENATE("R",'Mapa final'!$A$28),"")</f>
        <v/>
      </c>
      <c r="AI33" s="379"/>
      <c r="AJ33" s="369" t="str">
        <f>IF(AND('Mapa final'!$S$26="Media",'Mapa final'!$W$26="Catastrófico"),CONCATENATE("R",'Mapa final'!$A$26),"")</f>
        <v/>
      </c>
      <c r="AK33" s="370"/>
      <c r="AL33" s="370" t="str">
        <f>IF(AND('Mapa final'!$S$27="Media",'Mapa final'!$W$27="Catastrófico"),CONCATENATE("R",'Mapa final'!$A$27),"")</f>
        <v/>
      </c>
      <c r="AM33" s="370"/>
      <c r="AN33" s="370" t="str">
        <f>IF(AND('Mapa final'!$S$28="Media",'Mapa final'!$W$28="Catastrófico"),CONCATENATE("R",'Mapa final'!$A$28),"")</f>
        <v/>
      </c>
      <c r="AO33" s="371"/>
      <c r="AP33" s="69"/>
      <c r="AQ33" s="442"/>
      <c r="AR33" s="443"/>
      <c r="AS33" s="443"/>
      <c r="AT33" s="443"/>
      <c r="AU33" s="443"/>
      <c r="AV33" s="444"/>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419"/>
      <c r="E34" s="419"/>
      <c r="F34" s="420"/>
      <c r="G34" s="394"/>
      <c r="H34" s="395"/>
      <c r="I34" s="395"/>
      <c r="J34" s="395"/>
      <c r="K34" s="395"/>
      <c r="L34" s="363"/>
      <c r="M34" s="364"/>
      <c r="N34" s="364"/>
      <c r="O34" s="364"/>
      <c r="P34" s="364"/>
      <c r="Q34" s="365"/>
      <c r="R34" s="363"/>
      <c r="S34" s="364"/>
      <c r="T34" s="364"/>
      <c r="U34" s="364"/>
      <c r="V34" s="364"/>
      <c r="W34" s="364"/>
      <c r="X34" s="363"/>
      <c r="Y34" s="364"/>
      <c r="Z34" s="364"/>
      <c r="AA34" s="364"/>
      <c r="AB34" s="364"/>
      <c r="AC34" s="364"/>
      <c r="AD34" s="381"/>
      <c r="AE34" s="382"/>
      <c r="AF34" s="382"/>
      <c r="AG34" s="382"/>
      <c r="AH34" s="382"/>
      <c r="AI34" s="382"/>
      <c r="AJ34" s="369"/>
      <c r="AK34" s="370"/>
      <c r="AL34" s="370"/>
      <c r="AM34" s="370"/>
      <c r="AN34" s="370"/>
      <c r="AO34" s="371"/>
      <c r="AP34" s="69"/>
      <c r="AQ34" s="445"/>
      <c r="AR34" s="446"/>
      <c r="AS34" s="446"/>
      <c r="AT34" s="446"/>
      <c r="AU34" s="446"/>
      <c r="AV34" s="447"/>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419"/>
      <c r="E35" s="419"/>
      <c r="F35" s="420"/>
      <c r="G35" s="387" t="s">
        <v>113</v>
      </c>
      <c r="H35" s="389"/>
      <c r="I35" s="389"/>
      <c r="J35" s="389"/>
      <c r="K35" s="389"/>
      <c r="L35" s="356" t="str">
        <f>IF(AND('Mapa final'!$S$15="Baja",'Mapa final'!$W$15="Leve"),CONCATENATE("R",'Mapa final'!$A$15),"")</f>
        <v/>
      </c>
      <c r="M35" s="357"/>
      <c r="N35" s="357" t="str">
        <f>IF(AND('Mapa final'!$N$16="Baja",'Mapa final'!$R$16="Leve"),CONCATENATE("R",'Mapa final'!$A$16),"")</f>
        <v/>
      </c>
      <c r="O35" s="357"/>
      <c r="P35" s="357" t="str">
        <f>IF(AND('Mapa final'!$N$17="Baja",'Mapa final'!$R$17="Leve"),CONCATENATE("R",'Mapa final'!$A$17),"")</f>
        <v/>
      </c>
      <c r="Q35" s="358"/>
      <c r="R35" s="366" t="str">
        <f>IF(AND('Mapa final'!$S$15="Baja",'Mapa final'!$W$15="Menor"),CONCATENATE("R",'Mapa final'!$A$15),"")</f>
        <v/>
      </c>
      <c r="S35" s="367"/>
      <c r="T35" s="361" t="str">
        <f>IF(AND('Mapa final'!$S$16="Baja",'Mapa final'!$W$16="Menor"),CONCATENATE("R",'Mapa final'!$A$16),"")</f>
        <v/>
      </c>
      <c r="U35" s="361"/>
      <c r="V35" s="361" t="str">
        <f>IF(AND('Mapa final'!$S$17="Baja",'Mapa final'!$W$17="Menor"),CONCATENATE("R",'Mapa final'!$A$17),"")</f>
        <v/>
      </c>
      <c r="W35" s="362"/>
      <c r="X35" s="360" t="str">
        <f>IF(AND('Mapa final'!$S$15="Baja",'Mapa final'!$W$15="Moderado"),CONCATENATE("R",'Mapa final'!$A$15),"")</f>
        <v/>
      </c>
      <c r="Y35" s="361"/>
      <c r="Z35" s="361" t="str">
        <f>IF(AND('Mapa final'!S$16="Baja",'Mapa final'!$W$16="Moderado"),CONCATENATE("R",'Mapa final'!$A$16),"")</f>
        <v/>
      </c>
      <c r="AA35" s="361"/>
      <c r="AB35" s="361" t="str">
        <f>IF(AND('Mapa final'!$S$17="Baja",'Mapa final'!$W$17="Moderado"),CONCATENATE("R",'Mapa final'!$A$17),"")</f>
        <v/>
      </c>
      <c r="AC35" s="362"/>
      <c r="AD35" s="378" t="str">
        <f>IF(AND('Mapa final'!$S$15="Baja",'Mapa final'!$W$15="Mayor"),CONCATENATE("R",'Mapa final'!$A$15),"")</f>
        <v/>
      </c>
      <c r="AE35" s="379"/>
      <c r="AF35" s="379" t="str">
        <f>IF(AND('Mapa final'!$S$16="Baja",'Mapa final'!$W$16="Mayor"),CONCATENATE("R",'Mapa final'!$A$16),"")</f>
        <v/>
      </c>
      <c r="AG35" s="379"/>
      <c r="AH35" s="379" t="str">
        <f>IF(AND('Mapa final'!$S$17="Baja",'Mapa final'!$W$17="Mayor"),CONCATENATE("R",'Mapa final'!$A$17),"")</f>
        <v/>
      </c>
      <c r="AI35" s="379"/>
      <c r="AJ35" s="375" t="str">
        <f>IF(AND('Mapa final'!$S$15="Baja",'Mapa final'!$W$15="Catastrófico"),CONCATENATE("R",'Mapa final'!$A$15),"")</f>
        <v/>
      </c>
      <c r="AK35" s="376"/>
      <c r="AL35" s="376" t="str">
        <f>IF(AND('Mapa final'!$S$16="Baja",'Mapa final'!$W$16="Catastrófico"),CONCATENATE("R",'Mapa final'!$A$16),"")</f>
        <v/>
      </c>
      <c r="AM35" s="376"/>
      <c r="AN35" s="376" t="str">
        <f>IF(AND('Mapa final'!$S$17="Baja",'Mapa final'!$W$17="Catastrófico"),CONCATENATE("R",'Mapa final'!$A$17),"")</f>
        <v/>
      </c>
      <c r="AO35" s="377"/>
      <c r="AP35" s="69"/>
      <c r="AQ35" s="448" t="s">
        <v>81</v>
      </c>
      <c r="AR35" s="449"/>
      <c r="AS35" s="449"/>
      <c r="AT35" s="449"/>
      <c r="AU35" s="449"/>
      <c r="AV35" s="450"/>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419"/>
      <c r="E36" s="419"/>
      <c r="F36" s="420"/>
      <c r="G36" s="391"/>
      <c r="H36" s="392"/>
      <c r="I36" s="392"/>
      <c r="J36" s="392"/>
      <c r="K36" s="392"/>
      <c r="L36" s="351"/>
      <c r="M36" s="352"/>
      <c r="N36" s="352"/>
      <c r="O36" s="352"/>
      <c r="P36" s="352"/>
      <c r="Q36" s="353"/>
      <c r="R36" s="360"/>
      <c r="S36" s="361"/>
      <c r="T36" s="361"/>
      <c r="U36" s="361"/>
      <c r="V36" s="361"/>
      <c r="W36" s="362"/>
      <c r="X36" s="360"/>
      <c r="Y36" s="361"/>
      <c r="Z36" s="361"/>
      <c r="AA36" s="361"/>
      <c r="AB36" s="361"/>
      <c r="AC36" s="362"/>
      <c r="AD36" s="378"/>
      <c r="AE36" s="379"/>
      <c r="AF36" s="379"/>
      <c r="AG36" s="379"/>
      <c r="AH36" s="379"/>
      <c r="AI36" s="379"/>
      <c r="AJ36" s="369"/>
      <c r="AK36" s="370"/>
      <c r="AL36" s="370"/>
      <c r="AM36" s="370"/>
      <c r="AN36" s="370"/>
      <c r="AO36" s="371"/>
      <c r="AP36" s="69"/>
      <c r="AQ36" s="451"/>
      <c r="AR36" s="452"/>
      <c r="AS36" s="452"/>
      <c r="AT36" s="452"/>
      <c r="AU36" s="452"/>
      <c r="AV36" s="453"/>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419"/>
      <c r="E37" s="419"/>
      <c r="F37" s="420"/>
      <c r="G37" s="391"/>
      <c r="H37" s="392"/>
      <c r="I37" s="392"/>
      <c r="J37" s="392"/>
      <c r="K37" s="392"/>
      <c r="L37" s="351" t="str">
        <f>IF(AND('Mapa final'!$S$18="Baja",'Mapa final'!$W$18="Leve"),CONCATENATE("R",'Mapa final'!$A$18),"")</f>
        <v/>
      </c>
      <c r="M37" s="352"/>
      <c r="N37" s="352" t="str">
        <f>IF(AND('Mapa final'!$N$19="Baja",'Mapa final'!$R$19="Leve"),CONCATENATE("R",'Mapa final'!$A$19),"")</f>
        <v/>
      </c>
      <c r="O37" s="352"/>
      <c r="P37" s="352" t="str">
        <f>IF(AND('Mapa final'!$N$20="Baja",'Mapa final'!$R$20="Leve"),CONCATENATE("R",'Mapa final'!$A$20),"")</f>
        <v/>
      </c>
      <c r="Q37" s="353"/>
      <c r="R37" s="360" t="str">
        <f>IF(AND('Mapa final'!$S$18="Baja",'Mapa final'!$W$18="Menor"),CONCATENATE("R",'Mapa final'!$A$18),"")</f>
        <v/>
      </c>
      <c r="S37" s="361"/>
      <c r="T37" s="361" t="str">
        <f>IF(AND('Mapa final'!$S$19="Baja",'Mapa final'!$W$19="Menor"),CONCATENATE("R",'Mapa final'!$A$19),"")</f>
        <v/>
      </c>
      <c r="U37" s="361"/>
      <c r="V37" s="361" t="str">
        <f>IF(AND('Mapa final'!$S$20="Baja",'Mapa final'!$W$20="Menor"),CONCATENATE("R",'Mapa final'!$A$20),"")</f>
        <v/>
      </c>
      <c r="W37" s="362"/>
      <c r="X37" s="360" t="str">
        <f>IF(AND('Mapa final'!$S$18="Baja",'Mapa final'!$W$18="Moderado"),CONCATENATE("R",'Mapa final'!$A$18),"")</f>
        <v/>
      </c>
      <c r="Y37" s="361"/>
      <c r="Z37" s="361" t="str">
        <f>IF(AND('Mapa final'!$S$19="Baja",'Mapa final'!$W$19="Moderado"),CONCATENATE("R",'Mapa final'!$A$19),"")</f>
        <v/>
      </c>
      <c r="AA37" s="361"/>
      <c r="AB37" s="361" t="str">
        <f>IF(AND('Mapa final'!$S$20="Baja",'Mapa final'!$W$20="Moderado"),CONCATENATE("R",'Mapa final'!$A$20),"")</f>
        <v/>
      </c>
      <c r="AC37" s="362"/>
      <c r="AD37" s="378" t="str">
        <f>IF(AND('Mapa final'!$S$18="Baja",'Mapa final'!$W$18="Mayor"),CONCATENATE("R",'Mapa final'!$A$18),"")</f>
        <v/>
      </c>
      <c r="AE37" s="379"/>
      <c r="AF37" s="379" t="str">
        <f>IF(AND('Mapa final'!$S$19="Baja",'Mapa final'!$W$19="Mayor"),CONCATENATE("R",'Mapa final'!$A$19),"")</f>
        <v/>
      </c>
      <c r="AG37" s="379"/>
      <c r="AH37" s="379" t="str">
        <f>IF(AND('Mapa final'!$S$20="Baja",'Mapa final'!$W$20="Mayor"),CONCATENATE("R",'Mapa final'!$A$20),"")</f>
        <v/>
      </c>
      <c r="AI37" s="379"/>
      <c r="AJ37" s="369" t="str">
        <f>IF(AND('Mapa final'!$S$18="Baja",'Mapa final'!$W$18="Catastrófico"),CONCATENATE("R",'Mapa final'!$A$18),"")</f>
        <v/>
      </c>
      <c r="AK37" s="370"/>
      <c r="AL37" s="370" t="str">
        <f>IF(AND('Mapa final'!$S$19="Baja",'Mapa final'!$W$19="Catastrófico"),CONCATENATE("R",'Mapa final'!$A$19),"")</f>
        <v/>
      </c>
      <c r="AM37" s="370"/>
      <c r="AN37" s="370" t="str">
        <f>IF(AND('Mapa final'!$S$20="Baja",'Mapa final'!$N$20="Catastrófico"),CONCATENATE("R",'Mapa final'!$A$20),"")</f>
        <v/>
      </c>
      <c r="AO37" s="371"/>
      <c r="AP37" s="69"/>
      <c r="AQ37" s="451"/>
      <c r="AR37" s="452"/>
      <c r="AS37" s="452"/>
      <c r="AT37" s="452"/>
      <c r="AU37" s="452"/>
      <c r="AV37" s="453"/>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419"/>
      <c r="E38" s="419"/>
      <c r="F38" s="420"/>
      <c r="G38" s="391"/>
      <c r="H38" s="392"/>
      <c r="I38" s="392"/>
      <c r="J38" s="392"/>
      <c r="K38" s="392"/>
      <c r="L38" s="351"/>
      <c r="M38" s="352"/>
      <c r="N38" s="352"/>
      <c r="O38" s="352"/>
      <c r="P38" s="352"/>
      <c r="Q38" s="353"/>
      <c r="R38" s="360"/>
      <c r="S38" s="361"/>
      <c r="T38" s="361"/>
      <c r="U38" s="361"/>
      <c r="V38" s="361"/>
      <c r="W38" s="362"/>
      <c r="X38" s="360"/>
      <c r="Y38" s="361"/>
      <c r="Z38" s="361"/>
      <c r="AA38" s="361"/>
      <c r="AB38" s="361"/>
      <c r="AC38" s="362"/>
      <c r="AD38" s="378"/>
      <c r="AE38" s="379"/>
      <c r="AF38" s="379"/>
      <c r="AG38" s="379"/>
      <c r="AH38" s="379"/>
      <c r="AI38" s="379"/>
      <c r="AJ38" s="369"/>
      <c r="AK38" s="370"/>
      <c r="AL38" s="370"/>
      <c r="AM38" s="370"/>
      <c r="AN38" s="370"/>
      <c r="AO38" s="371"/>
      <c r="AP38" s="69"/>
      <c r="AQ38" s="451"/>
      <c r="AR38" s="452"/>
      <c r="AS38" s="452"/>
      <c r="AT38" s="452"/>
      <c r="AU38" s="452"/>
      <c r="AV38" s="453"/>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419"/>
      <c r="E39" s="419"/>
      <c r="F39" s="420"/>
      <c r="G39" s="391"/>
      <c r="H39" s="392"/>
      <c r="I39" s="392"/>
      <c r="J39" s="392"/>
      <c r="K39" s="392"/>
      <c r="L39" s="351" t="str">
        <f>IF(AND('Mapa final'!$S$23="Baja",'Mapa final'!$W$23="Leve"),CONCATENATE("R",'Mapa final'!$A$23),"")</f>
        <v/>
      </c>
      <c r="M39" s="352"/>
      <c r="N39" s="352" t="str">
        <f>IF(AND('Mapa final'!$N$24="Baja",'Mapa final'!$R$24="Leve"),CONCATENATE("R",'Mapa final'!$D$24),"")</f>
        <v/>
      </c>
      <c r="O39" s="352"/>
      <c r="P39" s="352" t="str">
        <f>IF(AND('Mapa final'!$N$25="Baja",'Mapa final'!$R$25="Leve"),CONCATENATE("R",'Mapa final'!$A$25),"")</f>
        <v/>
      </c>
      <c r="Q39" s="353"/>
      <c r="R39" s="360" t="str">
        <f>IF(AND('Mapa final'!$S$23="Baja",'Mapa final'!$W$23="Menor"),CONCATENATE("R",'Mapa final'!$A$23),"")</f>
        <v/>
      </c>
      <c r="S39" s="361"/>
      <c r="T39" s="361" t="str">
        <f>IF(AND('Mapa final'!$LU$24="Baja",'Mapa final'!$W$24="Menor"),CONCATENATE("R",'Mapa final'!$A$24),"")</f>
        <v/>
      </c>
      <c r="U39" s="361"/>
      <c r="V39" s="361" t="str">
        <f>IF(AND('Mapa final'!$S$25="Baja",'Mapa final'!$W$25="Menor"),CONCATENATE("R",'Mapa final'!$A$25),"")</f>
        <v/>
      </c>
      <c r="W39" s="362"/>
      <c r="X39" s="360" t="str">
        <f>IF(AND('Mapa final'!$S$23="Baja",'Mapa final'!$W$23="Moderado"),CONCATENATE("R",'Mapa final'!$A$23),"")</f>
        <v/>
      </c>
      <c r="Y39" s="361"/>
      <c r="Z39" s="361" t="str">
        <f>IF(AND('Mapa final'!$S$24="Baja",'Mapa final'!$W$24="Moderado"),CONCATENATE("R",'Mapa final'!$A$24),"")</f>
        <v/>
      </c>
      <c r="AA39" s="361"/>
      <c r="AB39" s="361" t="str">
        <f>IF(AND('Mapa final'!$S$25="Baja",'Mapa final'!$W$25="Moderado"),CONCATENATE("R",'Mapa final'!$A$25),"")</f>
        <v/>
      </c>
      <c r="AC39" s="362"/>
      <c r="AD39" s="378" t="str">
        <f>IF(AND('Mapa final'!$S$23="Baja",'Mapa final'!$W$23="Mayor"),CONCATENATE("R",'Mapa final'!$A$23),"")</f>
        <v/>
      </c>
      <c r="AE39" s="379"/>
      <c r="AF39" s="379" t="str">
        <f>IF(AND('Mapa final'!$S$24="Baja",'Mapa final'!$W$24="Mayor"),CONCATENATE("R",'Mapa final'!$A$24),"")</f>
        <v/>
      </c>
      <c r="AG39" s="379"/>
      <c r="AH39" s="379" t="str">
        <f>IF(AND('Mapa final'!$S$25="Baja",'Mapa final'!$W$25="Mayor"),CONCATENATE("R",'Mapa final'!$A$25),"")</f>
        <v/>
      </c>
      <c r="AI39" s="379"/>
      <c r="AJ39" s="369" t="str">
        <f>IF(AND('Mapa final'!$S$23="Baja",'Mapa final'!$W$23="Catastrófico"),CONCATENATE("R",'Mapa final'!$A$23),"")</f>
        <v/>
      </c>
      <c r="AK39" s="370"/>
      <c r="AL39" s="370" t="str">
        <f>IF(AND('Mapa final'!$S$24="Baja",'Mapa final'!$W$24="Catastrófico"),CONCATENATE("R",'Mapa final'!$A$24),"")</f>
        <v/>
      </c>
      <c r="AM39" s="370"/>
      <c r="AN39" s="370" t="str">
        <f>IF(AND('Mapa final'!$S$25="Baja",'Mapa final'!$W$25="Catastrófico"),CONCATENATE("R",'Mapa final'!$A$25),"")</f>
        <v/>
      </c>
      <c r="AO39" s="371"/>
      <c r="AP39" s="69"/>
      <c r="AQ39" s="451"/>
      <c r="AR39" s="452"/>
      <c r="AS39" s="452"/>
      <c r="AT39" s="452"/>
      <c r="AU39" s="452"/>
      <c r="AV39" s="453"/>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419"/>
      <c r="E40" s="419"/>
      <c r="F40" s="420"/>
      <c r="G40" s="391"/>
      <c r="H40" s="392"/>
      <c r="I40" s="392"/>
      <c r="J40" s="392"/>
      <c r="K40" s="392"/>
      <c r="L40" s="351"/>
      <c r="M40" s="352"/>
      <c r="N40" s="352"/>
      <c r="O40" s="352"/>
      <c r="P40" s="352"/>
      <c r="Q40" s="353"/>
      <c r="R40" s="360"/>
      <c r="S40" s="361"/>
      <c r="T40" s="361"/>
      <c r="U40" s="361"/>
      <c r="V40" s="361"/>
      <c r="W40" s="362"/>
      <c r="X40" s="360"/>
      <c r="Y40" s="361"/>
      <c r="Z40" s="361"/>
      <c r="AA40" s="361"/>
      <c r="AB40" s="361"/>
      <c r="AC40" s="362"/>
      <c r="AD40" s="378"/>
      <c r="AE40" s="379"/>
      <c r="AF40" s="379"/>
      <c r="AG40" s="379"/>
      <c r="AH40" s="379"/>
      <c r="AI40" s="379"/>
      <c r="AJ40" s="369"/>
      <c r="AK40" s="370"/>
      <c r="AL40" s="370"/>
      <c r="AM40" s="370"/>
      <c r="AN40" s="370"/>
      <c r="AO40" s="371"/>
      <c r="AP40" s="69"/>
      <c r="AQ40" s="451"/>
      <c r="AR40" s="452"/>
      <c r="AS40" s="452"/>
      <c r="AT40" s="452"/>
      <c r="AU40" s="452"/>
      <c r="AV40" s="453"/>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419"/>
      <c r="E41" s="419"/>
      <c r="F41" s="420"/>
      <c r="G41" s="391"/>
      <c r="H41" s="392"/>
      <c r="I41" s="392"/>
      <c r="J41" s="392"/>
      <c r="K41" s="392"/>
      <c r="L41" s="351" t="str">
        <f>IF(AND('Mapa final'!$S$26="Baja",'Mapa final'!$W$26="Leve"),CONCATENATE("R",'Mapa final'!$A$26),"")</f>
        <v/>
      </c>
      <c r="M41" s="352"/>
      <c r="N41" s="352" t="str">
        <f>IF(AND('Mapa final'!$N$27="Baja",'Mapa final'!$R$27="Leve"),CONCATENATE("R",'Mapa final'!$A$27),"")</f>
        <v/>
      </c>
      <c r="O41" s="352"/>
      <c r="P41" s="352" t="str">
        <f>IF(AND('Mapa final'!$N$28="Baja",'Mapa final'!$R$28="Leve"),CONCATENATE("R",'Mapa final'!$A$28),"")</f>
        <v/>
      </c>
      <c r="Q41" s="353"/>
      <c r="R41" s="360" t="str">
        <f>IF(AND('Mapa final'!$S$26="Baja",'Mapa final'!$W$26="Menor"),CONCATENATE("R",'Mapa final'!$A$26),"")</f>
        <v/>
      </c>
      <c r="S41" s="361"/>
      <c r="T41" s="361" t="str">
        <f>IF(AND('Mapa final'!$S$27="Baja",'Mapa final'!$W$27="Menor"),CONCATENATE("R",'Mapa final'!$A$27),"")</f>
        <v/>
      </c>
      <c r="U41" s="361"/>
      <c r="V41" s="361" t="str">
        <f>IF(AND('Mapa final'!$S$28="Baja",'Mapa final'!$W$28="Menor"),CONCATENATE("R",'Mapa final'!$A$28),"")</f>
        <v/>
      </c>
      <c r="W41" s="362"/>
      <c r="X41" s="360" t="str">
        <f>IF(AND('Mapa final'!$S$26="Baja",'Mapa final'!$W$26="Moderado"),CONCATENATE("R",'Mapa final'!$A$26),"")</f>
        <v/>
      </c>
      <c r="Y41" s="361"/>
      <c r="Z41" s="361" t="str">
        <f>IF(AND('Mapa final'!$S$27="Baja",'Mapa final'!$W$27="Moderado"),CONCATENATE("R",'Mapa final'!$A$27),"")</f>
        <v/>
      </c>
      <c r="AA41" s="361"/>
      <c r="AB41" s="361" t="str">
        <f>IF(AND('Mapa final'!$S$28="Baja",'Mapa final'!$W$28="Moderado"),CONCATENATE("R",'Mapa final'!$A$28),"")</f>
        <v/>
      </c>
      <c r="AC41" s="362"/>
      <c r="AD41" s="378" t="str">
        <f>IF(AND('Mapa final'!$S$26="Baja",'Mapa final'!$W$26="Mayor"),CONCATENATE("R",'Mapa final'!$A$26),"")</f>
        <v/>
      </c>
      <c r="AE41" s="379"/>
      <c r="AF41" s="379" t="str">
        <f>IF(AND('Mapa final'!$S$27="Baja",'Mapa final'!$W$27="Mayor"),CONCATENATE("R",'Mapa final'!$A$27),"")</f>
        <v/>
      </c>
      <c r="AG41" s="379"/>
      <c r="AH41" s="379" t="str">
        <f>IF(AND('Mapa final'!$S$28="Baja",'Mapa final'!$W$28="Mayor"),CONCATENATE("R",'Mapa final'!$A$28),"")</f>
        <v/>
      </c>
      <c r="AI41" s="379"/>
      <c r="AJ41" s="369" t="str">
        <f>IF(AND('Mapa final'!$S$26="Baja",'Mapa final'!$W$26="Catastrófico"),CONCATENATE("R",'Mapa final'!$A$26),"")</f>
        <v/>
      </c>
      <c r="AK41" s="370"/>
      <c r="AL41" s="370" t="str">
        <f>IF(AND('Mapa final'!$S$27="Baja",'Mapa final'!$W$27="Catastrófico"),CONCATENATE("R",'Mapa final'!$A$27),"")</f>
        <v/>
      </c>
      <c r="AM41" s="370"/>
      <c r="AN41" s="370" t="str">
        <f>IF(AND('Mapa final'!$S$28="Baja",'Mapa final'!$W$28="Catastrófico"),CONCATENATE("R",'Mapa final'!$A$28),"")</f>
        <v/>
      </c>
      <c r="AO41" s="371"/>
      <c r="AP41" s="69"/>
      <c r="AQ41" s="451"/>
      <c r="AR41" s="452"/>
      <c r="AS41" s="452"/>
      <c r="AT41" s="452"/>
      <c r="AU41" s="452"/>
      <c r="AV41" s="453"/>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419"/>
      <c r="E42" s="419"/>
      <c r="F42" s="420"/>
      <c r="G42" s="394"/>
      <c r="H42" s="395"/>
      <c r="I42" s="395"/>
      <c r="J42" s="395"/>
      <c r="K42" s="395"/>
      <c r="L42" s="359"/>
      <c r="M42" s="354"/>
      <c r="N42" s="354"/>
      <c r="O42" s="354"/>
      <c r="P42" s="354"/>
      <c r="Q42" s="355"/>
      <c r="R42" s="363"/>
      <c r="S42" s="364"/>
      <c r="T42" s="364"/>
      <c r="U42" s="364"/>
      <c r="V42" s="364"/>
      <c r="W42" s="365"/>
      <c r="X42" s="363"/>
      <c r="Y42" s="364"/>
      <c r="Z42" s="364"/>
      <c r="AA42" s="364"/>
      <c r="AB42" s="364"/>
      <c r="AC42" s="365"/>
      <c r="AD42" s="381"/>
      <c r="AE42" s="382"/>
      <c r="AF42" s="382"/>
      <c r="AG42" s="382"/>
      <c r="AH42" s="382"/>
      <c r="AI42" s="382"/>
      <c r="AJ42" s="372"/>
      <c r="AK42" s="373"/>
      <c r="AL42" s="373"/>
      <c r="AM42" s="373"/>
      <c r="AN42" s="373"/>
      <c r="AO42" s="374"/>
      <c r="AP42" s="69"/>
      <c r="AQ42" s="454"/>
      <c r="AR42" s="455"/>
      <c r="AS42" s="455"/>
      <c r="AT42" s="455"/>
      <c r="AU42" s="455"/>
      <c r="AV42" s="456"/>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419"/>
      <c r="E43" s="419"/>
      <c r="F43" s="420"/>
      <c r="G43" s="387" t="s">
        <v>112</v>
      </c>
      <c r="H43" s="389"/>
      <c r="I43" s="389"/>
      <c r="J43" s="389"/>
      <c r="K43" s="389"/>
      <c r="L43" s="356" t="str">
        <f>IF(AND('Mapa final'!$S$15="Muy Baja",'Mapa final'!$W$15="Leve"),CONCATENATE("R",'Mapa final'!$A$15),"")</f>
        <v/>
      </c>
      <c r="M43" s="357"/>
      <c r="N43" s="357" t="str">
        <f>IF(AND('Mapa final'!$N$16="Muy Baja",'Mapa final'!$R$16="Leve"),CONCATENATE("R",'Mapa final'!$A$16),"")</f>
        <v/>
      </c>
      <c r="O43" s="357"/>
      <c r="P43" s="357" t="str">
        <f>IF(AND('Mapa final'!$N$17="Muy Baja",'Mapa final'!$R$17="Leve"),CONCATENATE("R",'Mapa final'!$A$17),"")</f>
        <v/>
      </c>
      <c r="Q43" s="358"/>
      <c r="R43" s="356" t="str">
        <f>IF(AND('Mapa final'!$S$15="Muy Baja",'Mapa final'!$W$15="Menor"),CONCATENATE("R",'Mapa final'!$A$15),"")</f>
        <v/>
      </c>
      <c r="S43" s="357"/>
      <c r="T43" s="357" t="str">
        <f>IF(AND('Mapa final'!$S$16="Muy Baja",'Mapa final'!$W$16="Menor"),CONCATENATE("R",'Mapa final'!$A$16),"")</f>
        <v/>
      </c>
      <c r="U43" s="357"/>
      <c r="V43" s="357" t="str">
        <f>IF(AND('Mapa final'!$S$17="Muy Baja",'Mapa final'!$W$17="Menor"),CONCATENATE("R",'Mapa final'!$A$17),"")</f>
        <v/>
      </c>
      <c r="W43" s="358"/>
      <c r="X43" s="366" t="str">
        <f>IF(AND('Mapa final'!$S$15="Muy Baja",'Mapa final'!$W$15="Moderado"),CONCATENATE("R",'Mapa final'!$A$15),"")</f>
        <v/>
      </c>
      <c r="Y43" s="367"/>
      <c r="Z43" s="367" t="str">
        <f>IF(AND('Mapa final'!S$16="Muy Baja",'Mapa final'!$W$16="Moderado"),CONCATENATE("R",'Mapa final'!$A$16),"")</f>
        <v/>
      </c>
      <c r="AA43" s="367"/>
      <c r="AB43" s="367" t="str">
        <f>IF(AND('Mapa final'!$S$17="Muy Baja",'Mapa final'!$W$17="Moderado"),CONCATENATE("R",'Mapa final'!$A$17),"")</f>
        <v/>
      </c>
      <c r="AC43" s="368"/>
      <c r="AD43" s="384" t="str">
        <f>IF(AND('Mapa final'!$S$15="Muy Baja",'Mapa final'!$W$15="Mayor"),CONCATENATE("R",'Mapa final'!$A$15),"")</f>
        <v/>
      </c>
      <c r="AE43" s="385"/>
      <c r="AF43" s="385" t="str">
        <f>IF(AND('Mapa final'!$S$16="Muy Baja",'Mapa final'!$W$16="Mayor"),CONCATENATE("R",'Mapa final'!$A$16),"")</f>
        <v/>
      </c>
      <c r="AG43" s="385"/>
      <c r="AH43" s="385" t="str">
        <f>IF(AND('Mapa final'!$S$17="Muy Baja",'Mapa final'!$W$17="Mayor"),CONCATENATE("R",'Mapa final'!$A$17),"")</f>
        <v/>
      </c>
      <c r="AI43" s="386"/>
      <c r="AJ43" s="369" t="str">
        <f>IF(AND('Mapa final'!$S$15="Muy Baja",'Mapa final'!$W$15="Catastrófico"),CONCATENATE("R",'Mapa final'!$A$15),"")</f>
        <v/>
      </c>
      <c r="AK43" s="370"/>
      <c r="AL43" s="370" t="str">
        <f>IF(AND('Mapa final'!$S$16="Muy Baja",'Mapa final'!$W$16="Catastrófico"),CONCATENATE("R",'Mapa final'!$A$16),"")</f>
        <v/>
      </c>
      <c r="AM43" s="370"/>
      <c r="AN43" s="370" t="str">
        <f>IF(AND('Mapa final'!$S$17="Muy Baja",'Mapa final'!$W$17="Catastrófico"),CONCATENATE("R",'Mapa final'!$A$17),"")</f>
        <v/>
      </c>
      <c r="AO43" s="371"/>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419"/>
      <c r="E44" s="419"/>
      <c r="F44" s="420"/>
      <c r="G44" s="391"/>
      <c r="H44" s="392"/>
      <c r="I44" s="392"/>
      <c r="J44" s="392"/>
      <c r="K44" s="392"/>
      <c r="L44" s="351"/>
      <c r="M44" s="352"/>
      <c r="N44" s="352"/>
      <c r="O44" s="352"/>
      <c r="P44" s="352"/>
      <c r="Q44" s="353"/>
      <c r="R44" s="351"/>
      <c r="S44" s="352"/>
      <c r="T44" s="352"/>
      <c r="U44" s="352"/>
      <c r="V44" s="352"/>
      <c r="W44" s="353"/>
      <c r="X44" s="360"/>
      <c r="Y44" s="361"/>
      <c r="Z44" s="361"/>
      <c r="AA44" s="361"/>
      <c r="AB44" s="361"/>
      <c r="AC44" s="362"/>
      <c r="AD44" s="378"/>
      <c r="AE44" s="379"/>
      <c r="AF44" s="379"/>
      <c r="AG44" s="379"/>
      <c r="AH44" s="379"/>
      <c r="AI44" s="380"/>
      <c r="AJ44" s="369"/>
      <c r="AK44" s="370"/>
      <c r="AL44" s="370"/>
      <c r="AM44" s="370"/>
      <c r="AN44" s="370"/>
      <c r="AO44" s="371"/>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419"/>
      <c r="E45" s="419"/>
      <c r="F45" s="420"/>
      <c r="G45" s="391"/>
      <c r="H45" s="392"/>
      <c r="I45" s="392"/>
      <c r="J45" s="392"/>
      <c r="K45" s="392"/>
      <c r="L45" s="351" t="str">
        <f>IF(AND('Mapa final'!$S$18="Muy Baja",'Mapa final'!$W$18="Leve"),CONCATENATE("R",'Mapa final'!$A$18),"")</f>
        <v/>
      </c>
      <c r="M45" s="352"/>
      <c r="N45" s="352" t="str">
        <f>IF(AND('Mapa final'!$N$19="Muy Baja",'Mapa final'!$R$19="Leve"),CONCATENATE("R",'Mapa final'!$A$19),"")</f>
        <v/>
      </c>
      <c r="O45" s="352"/>
      <c r="P45" s="352" t="str">
        <f>IF(AND('Mapa final'!$N$20="Muy Baja",'Mapa final'!$R$20="Leve"),CONCATENATE("R",'Mapa final'!$A$20),"")</f>
        <v/>
      </c>
      <c r="Q45" s="353"/>
      <c r="R45" s="351" t="str">
        <f>IF(AND('Mapa final'!$S$18="Muy Baja",'Mapa final'!$W$18="Menor"),CONCATENATE("R",'Mapa final'!$A$18),"")</f>
        <v/>
      </c>
      <c r="S45" s="352"/>
      <c r="T45" s="352" t="str">
        <f>IF(AND('Mapa final'!$S$19="Muy Baja",'Mapa final'!$W$19="Menor"),CONCATENATE("R",'Mapa final'!$A$19),"")</f>
        <v/>
      </c>
      <c r="U45" s="352"/>
      <c r="V45" s="352" t="str">
        <f>IF(AND('Mapa final'!$S$20="Muy Baja",'Mapa final'!$W$20="Menor"),CONCATENATE("R",'Mapa final'!$A$20),"")</f>
        <v/>
      </c>
      <c r="W45" s="353"/>
      <c r="X45" s="360" t="str">
        <f>IF(AND('Mapa final'!$S$18="Muy Baja",'Mapa final'!$W$18="Moderado"),CONCATENATE("R",'Mapa final'!$A$18),"")</f>
        <v/>
      </c>
      <c r="Y45" s="361"/>
      <c r="Z45" s="361" t="str">
        <f>IF(AND('Mapa final'!$S$19="Muy Baja",'Mapa final'!$W$19="Moderado"),CONCATENATE("R",'Mapa final'!$A$19),"")</f>
        <v/>
      </c>
      <c r="AA45" s="361"/>
      <c r="AB45" s="361" t="str">
        <f>IF(AND('Mapa final'!$S$20="Muy Baja",'Mapa final'!$W$20="Moderado"),CONCATENATE("R",'Mapa final'!$A$20),"")</f>
        <v/>
      </c>
      <c r="AC45" s="362"/>
      <c r="AD45" s="378" t="str">
        <f>IF(AND('Mapa final'!$S$18="Muy Baja",'Mapa final'!$W$18="Mayor"),CONCATENATE("R",'Mapa final'!$A$18),"")</f>
        <v/>
      </c>
      <c r="AE45" s="379"/>
      <c r="AF45" s="379" t="str">
        <f>IF(AND('Mapa final'!$S$19="Muy Baja",'Mapa final'!$W$19="Mayor"),CONCATENATE("R",'Mapa final'!$A$19),"")</f>
        <v/>
      </c>
      <c r="AG45" s="379"/>
      <c r="AH45" s="379" t="str">
        <f>IF(AND('Mapa final'!$S$20="Muy Baja",'Mapa final'!$W$20="Mayor"),CONCATENATE("R",'Mapa final'!$A$20),"")</f>
        <v/>
      </c>
      <c r="AI45" s="380"/>
      <c r="AJ45" s="369" t="str">
        <f>IF(AND('Mapa final'!$S$18="Muy Baja",'Mapa final'!$W$18="Catastrófico"),CONCATENATE("R",'Mapa final'!$A$18),"")</f>
        <v/>
      </c>
      <c r="AK45" s="370"/>
      <c r="AL45" s="370" t="str">
        <f>IF(AND('Mapa final'!$S$19="Muy Baja",'Mapa final'!$W$19="Catastrófico"),CONCATENATE("R",'Mapa final'!$A$19),"")</f>
        <v/>
      </c>
      <c r="AM45" s="370"/>
      <c r="AN45" s="370" t="str">
        <f>IF(AND('Mapa final'!$S$20="Muy Baja",'Mapa final'!$N$20="Catastrófico"),CONCATENATE("R",'Mapa final'!$A$20),"")</f>
        <v/>
      </c>
      <c r="AO45" s="371"/>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419"/>
      <c r="E46" s="419"/>
      <c r="F46" s="420"/>
      <c r="G46" s="391"/>
      <c r="H46" s="392"/>
      <c r="I46" s="392"/>
      <c r="J46" s="392"/>
      <c r="K46" s="392"/>
      <c r="L46" s="351"/>
      <c r="M46" s="352"/>
      <c r="N46" s="352"/>
      <c r="O46" s="352"/>
      <c r="P46" s="352"/>
      <c r="Q46" s="353"/>
      <c r="R46" s="351"/>
      <c r="S46" s="352"/>
      <c r="T46" s="352"/>
      <c r="U46" s="352"/>
      <c r="V46" s="352"/>
      <c r="W46" s="353"/>
      <c r="X46" s="360"/>
      <c r="Y46" s="361"/>
      <c r="Z46" s="361"/>
      <c r="AA46" s="361"/>
      <c r="AB46" s="361"/>
      <c r="AC46" s="362"/>
      <c r="AD46" s="378"/>
      <c r="AE46" s="379"/>
      <c r="AF46" s="379"/>
      <c r="AG46" s="379"/>
      <c r="AH46" s="379"/>
      <c r="AI46" s="380"/>
      <c r="AJ46" s="369"/>
      <c r="AK46" s="370"/>
      <c r="AL46" s="370"/>
      <c r="AM46" s="370"/>
      <c r="AN46" s="370"/>
      <c r="AO46" s="371"/>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419"/>
      <c r="E47" s="419"/>
      <c r="F47" s="420"/>
      <c r="G47" s="391"/>
      <c r="H47" s="392"/>
      <c r="I47" s="392"/>
      <c r="J47" s="392"/>
      <c r="K47" s="392"/>
      <c r="L47" s="351" t="str">
        <f>IF(AND('Mapa final'!$S$23="Muy Baja",'Mapa final'!$W$23="Leve"),CONCATENATE("R",'Mapa final'!$A$23),"")</f>
        <v/>
      </c>
      <c r="M47" s="352"/>
      <c r="N47" s="352" t="str">
        <f>IF(AND('Mapa final'!$S$24="Muy Baja",'Mapa final'!$W$24="Leve"),CONCATENATE("R",'Mapa final'!$D$24),"")</f>
        <v>R6</v>
      </c>
      <c r="O47" s="352"/>
      <c r="P47" s="352" t="str">
        <f>IF(AND('Mapa final'!$N$25="Muy Baja",'Mapa final'!$R$25="Leve"),CONCATENATE("R",'Mapa final'!$D$25),"")</f>
        <v/>
      </c>
      <c r="Q47" s="353"/>
      <c r="R47" s="351" t="str">
        <f>IF(AND('Mapa final'!$S$23="Muy Baja",'Mapa final'!$W$23="Menor"),CONCATENATE("R",'Mapa final'!$A$23),"")</f>
        <v/>
      </c>
      <c r="S47" s="352"/>
      <c r="T47" s="352" t="str">
        <f>IF(AND('Mapa final'!$LU$24="Muy Baja",'Mapa final'!$W$24="Menor"),CONCATENATE("R",'Mapa final'!$D$24),"")</f>
        <v/>
      </c>
      <c r="U47" s="352"/>
      <c r="V47" s="352" t="str">
        <f>IF(AND('Mapa final'!$S$25="Muy Baja",'Mapa final'!$W$25="Menor"),CONCATENATE("R",'Mapa final'!$A$25),"")</f>
        <v/>
      </c>
      <c r="W47" s="353"/>
      <c r="X47" s="360" t="str">
        <f>IF(AND('Mapa final'!$S$23="Muy Baja",'Mapa final'!$W$23="Moderado"),CONCATENATE("R",'Mapa final'!$A$23),"")</f>
        <v/>
      </c>
      <c r="Y47" s="361"/>
      <c r="Z47" s="361" t="str">
        <f>IF(AND('Mapa final'!$S$24="Muy Baja",'Mapa final'!$W$24="Moderado"),CONCATENATE("R",'Mapa final'!$A$24),"")</f>
        <v/>
      </c>
      <c r="AA47" s="361"/>
      <c r="AB47" s="361" t="str">
        <f>IF(AND('Mapa final'!$S$25="Muy Baja",'Mapa final'!$W$25="Moderado"),CONCATENATE("R",'Mapa final'!$A$25),"")</f>
        <v/>
      </c>
      <c r="AC47" s="362"/>
      <c r="AD47" s="378" t="str">
        <f>IF(AND('Mapa final'!$S$23="Muy Baja",'Mapa final'!$W$23="Mayor"),CONCATENATE("R",'Mapa final'!$A$23),"")</f>
        <v/>
      </c>
      <c r="AE47" s="379"/>
      <c r="AF47" s="379" t="str">
        <f>IF(AND('Mapa final'!$S$24="Muy Baja",'Mapa final'!$W$24="Mayor"),CONCATENATE("R",'Mapa final'!$A$24),"")</f>
        <v/>
      </c>
      <c r="AG47" s="379"/>
      <c r="AH47" s="379" t="str">
        <f>IF(AND('Mapa final'!$S$25="Muy Baja",'Mapa final'!$W$25="Mayor"),CONCATENATE("R",'Mapa final'!$A$25),"")</f>
        <v/>
      </c>
      <c r="AI47" s="380"/>
      <c r="AJ47" s="369" t="str">
        <f>IF(AND('Mapa final'!$S$23="Muy Baja",'Mapa final'!$W$23="Catastrófico"),CONCATENATE("R",'Mapa final'!$A$23),"")</f>
        <v/>
      </c>
      <c r="AK47" s="370"/>
      <c r="AL47" s="370" t="str">
        <f>IF(AND('Mapa final'!$S$24="Muy Baja",'Mapa final'!$W$24="Catastrófico"),CONCATENATE("R",'Mapa final'!$A$24),"")</f>
        <v/>
      </c>
      <c r="AM47" s="370"/>
      <c r="AN47" s="370" t="str">
        <f>IF(AND('Mapa final'!$S$25="Muy Baja",'Mapa final'!$W$25="Catastrófico"),CONCATENATE("R",'Mapa final'!$A$25),"")</f>
        <v/>
      </c>
      <c r="AO47" s="371"/>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419"/>
      <c r="E48" s="419"/>
      <c r="F48" s="420"/>
      <c r="G48" s="391"/>
      <c r="H48" s="392"/>
      <c r="I48" s="392"/>
      <c r="J48" s="392"/>
      <c r="K48" s="392"/>
      <c r="L48" s="351"/>
      <c r="M48" s="352"/>
      <c r="N48" s="352"/>
      <c r="O48" s="352"/>
      <c r="P48" s="352"/>
      <c r="Q48" s="353"/>
      <c r="R48" s="351"/>
      <c r="S48" s="352"/>
      <c r="T48" s="352"/>
      <c r="U48" s="352"/>
      <c r="V48" s="352"/>
      <c r="W48" s="353"/>
      <c r="X48" s="360"/>
      <c r="Y48" s="361"/>
      <c r="Z48" s="361"/>
      <c r="AA48" s="361"/>
      <c r="AB48" s="361"/>
      <c r="AC48" s="362"/>
      <c r="AD48" s="378"/>
      <c r="AE48" s="379"/>
      <c r="AF48" s="379"/>
      <c r="AG48" s="379"/>
      <c r="AH48" s="379"/>
      <c r="AI48" s="380"/>
      <c r="AJ48" s="369"/>
      <c r="AK48" s="370"/>
      <c r="AL48" s="370"/>
      <c r="AM48" s="370"/>
      <c r="AN48" s="370"/>
      <c r="AO48" s="371"/>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419"/>
      <c r="E49" s="419"/>
      <c r="F49" s="420"/>
      <c r="G49" s="391"/>
      <c r="H49" s="392"/>
      <c r="I49" s="392"/>
      <c r="J49" s="392"/>
      <c r="K49" s="392"/>
      <c r="L49" s="351" t="str">
        <f>IF(AND('Mapa final'!$S$26="Muy Baja",'Mapa final'!$W$26="Leve"),CONCATENATE("R",'Mapa final'!$A$26),"")</f>
        <v/>
      </c>
      <c r="M49" s="352"/>
      <c r="N49" s="352" t="str">
        <f>IF(AND('Mapa final'!$N$27="Muy Baja",'Mapa final'!$R$27="Leve"),CONCATENATE("R",'Mapa final'!$A$27),"")</f>
        <v/>
      </c>
      <c r="O49" s="352"/>
      <c r="P49" s="352" t="str">
        <f>IF(AND('Mapa final'!$N$28="Muy Baja",'Mapa final'!$R$28="Leve"),CONCATENATE("R",'Mapa final'!$A$28),"")</f>
        <v/>
      </c>
      <c r="Q49" s="353"/>
      <c r="R49" s="352" t="str">
        <f>IF(AND('Mapa final'!$S$26="Muy Baja",'Mapa final'!$W$26="Menor"),CONCATENATE("R",'Mapa final'!$A$26),"")</f>
        <v/>
      </c>
      <c r="S49" s="352"/>
      <c r="T49" s="352" t="str">
        <f>IF(AND('Mapa final'!$S$27="Muy Baja",'Mapa final'!$W$27="Menor"),CONCATENATE("R",'Mapa final'!$A$27),"")</f>
        <v/>
      </c>
      <c r="U49" s="352"/>
      <c r="V49" s="352" t="str">
        <f>IF(AND('Mapa final'!$S$28="Muy Baja",'Mapa final'!$W$28="Menor"),CONCATENATE("R",'Mapa final'!$A$28),"")</f>
        <v/>
      </c>
      <c r="W49" s="353"/>
      <c r="X49" s="360" t="str">
        <f>IF(AND('Mapa final'!$S$26="Muy Baja",'Mapa final'!$W$26="Moderado"),CONCATENATE("R",'Mapa final'!$A$26),"")</f>
        <v/>
      </c>
      <c r="Y49" s="361"/>
      <c r="Z49" s="361" t="str">
        <f>IF(AND('Mapa final'!$S$27="Muy Baja",'Mapa final'!$W$27="Moderado"),CONCATENATE("R",'Mapa final'!$A$27),"")</f>
        <v/>
      </c>
      <c r="AA49" s="361"/>
      <c r="AB49" s="361" t="str">
        <f>IF(AND('Mapa final'!$S$28="Muy Baja",'Mapa final'!$W$28="Moderado"),CONCATENATE("R",'Mapa final'!$A$28),"")</f>
        <v/>
      </c>
      <c r="AC49" s="362"/>
      <c r="AD49" s="378" t="str">
        <f>IF(AND('Mapa final'!$S$26="Muy Baja",'Mapa final'!$W$26="Mayor"),CONCATENATE("R",'Mapa final'!$A$26),"")</f>
        <v/>
      </c>
      <c r="AE49" s="379"/>
      <c r="AF49" s="379" t="str">
        <f>IF(AND('Mapa final'!$S$27="Muy Baja",'Mapa final'!$W$27="Mayor"),CONCATENATE("R",'Mapa final'!$A$27),"")</f>
        <v/>
      </c>
      <c r="AG49" s="379"/>
      <c r="AH49" s="379" t="str">
        <f>IF(AND('Mapa final'!$S$28="Muy Baja",'Mapa final'!$W$28="Mayor"),CONCATENATE("R",'Mapa final'!$A$28),"")</f>
        <v/>
      </c>
      <c r="AI49" s="380"/>
      <c r="AJ49" s="369" t="str">
        <f>IF(AND('Mapa final'!$S$26="Muy Baja",'Mapa final'!$W$26="Catastrófico"),CONCATENATE("R",'Mapa final'!$A$26),"")</f>
        <v/>
      </c>
      <c r="AK49" s="370"/>
      <c r="AL49" s="370" t="str">
        <f>IF(AND('Mapa final'!$S$27="Muy Baja",'Mapa final'!$W$27="Catastrófico"),CONCATENATE("R",'Mapa final'!$A$27),"")</f>
        <v/>
      </c>
      <c r="AM49" s="370"/>
      <c r="AN49" s="370" t="str">
        <f>IF(AND('Mapa final'!$S$28="Muy Baja",'Mapa final'!$W$28="Catastrófico"),CONCATENATE("R",'Mapa final'!$A$28),"")</f>
        <v/>
      </c>
      <c r="AO49" s="371"/>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419"/>
      <c r="E50" s="419"/>
      <c r="F50" s="420"/>
      <c r="G50" s="394"/>
      <c r="H50" s="395"/>
      <c r="I50" s="395"/>
      <c r="J50" s="395"/>
      <c r="K50" s="395"/>
      <c r="L50" s="359"/>
      <c r="M50" s="354"/>
      <c r="N50" s="354"/>
      <c r="O50" s="354"/>
      <c r="P50" s="354"/>
      <c r="Q50" s="355"/>
      <c r="R50" s="354"/>
      <c r="S50" s="354"/>
      <c r="T50" s="354"/>
      <c r="U50" s="354"/>
      <c r="V50" s="354"/>
      <c r="W50" s="355"/>
      <c r="X50" s="363"/>
      <c r="Y50" s="364"/>
      <c r="Z50" s="364"/>
      <c r="AA50" s="364"/>
      <c r="AB50" s="364"/>
      <c r="AC50" s="365"/>
      <c r="AD50" s="381"/>
      <c r="AE50" s="382"/>
      <c r="AF50" s="382"/>
      <c r="AG50" s="382"/>
      <c r="AH50" s="382"/>
      <c r="AI50" s="383"/>
      <c r="AJ50" s="372"/>
      <c r="AK50" s="373"/>
      <c r="AL50" s="373"/>
      <c r="AM50" s="373"/>
      <c r="AN50" s="373"/>
      <c r="AO50" s="374"/>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397" t="s">
        <v>111</v>
      </c>
      <c r="M51" s="392"/>
      <c r="N51" s="392"/>
      <c r="O51" s="392"/>
      <c r="P51" s="392"/>
      <c r="Q51" s="393"/>
      <c r="R51" s="387" t="s">
        <v>110</v>
      </c>
      <c r="S51" s="389"/>
      <c r="T51" s="389"/>
      <c r="U51" s="389"/>
      <c r="V51" s="389"/>
      <c r="W51" s="390"/>
      <c r="X51" s="387" t="s">
        <v>109</v>
      </c>
      <c r="Y51" s="389"/>
      <c r="Z51" s="389"/>
      <c r="AA51" s="389"/>
      <c r="AB51" s="389"/>
      <c r="AC51" s="390"/>
      <c r="AD51" s="387" t="s">
        <v>108</v>
      </c>
      <c r="AE51" s="388"/>
      <c r="AF51" s="389"/>
      <c r="AG51" s="389"/>
      <c r="AH51" s="389"/>
      <c r="AI51" s="390"/>
      <c r="AJ51" s="387" t="s">
        <v>107</v>
      </c>
      <c r="AK51" s="389"/>
      <c r="AL51" s="389"/>
      <c r="AM51" s="389"/>
      <c r="AN51" s="389"/>
      <c r="AO51" s="390"/>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391"/>
      <c r="M52" s="392"/>
      <c r="N52" s="392"/>
      <c r="O52" s="392"/>
      <c r="P52" s="392"/>
      <c r="Q52" s="393"/>
      <c r="R52" s="391"/>
      <c r="S52" s="392"/>
      <c r="T52" s="392"/>
      <c r="U52" s="392"/>
      <c r="V52" s="392"/>
      <c r="W52" s="393"/>
      <c r="X52" s="391"/>
      <c r="Y52" s="392"/>
      <c r="Z52" s="392"/>
      <c r="AA52" s="392"/>
      <c r="AB52" s="392"/>
      <c r="AC52" s="393"/>
      <c r="AD52" s="391"/>
      <c r="AE52" s="392"/>
      <c r="AF52" s="392"/>
      <c r="AG52" s="392"/>
      <c r="AH52" s="392"/>
      <c r="AI52" s="393"/>
      <c r="AJ52" s="391"/>
      <c r="AK52" s="392"/>
      <c r="AL52" s="392"/>
      <c r="AM52" s="392"/>
      <c r="AN52" s="392"/>
      <c r="AO52" s="393"/>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391"/>
      <c r="M53" s="392"/>
      <c r="N53" s="392"/>
      <c r="O53" s="392"/>
      <c r="P53" s="392"/>
      <c r="Q53" s="393"/>
      <c r="R53" s="391"/>
      <c r="S53" s="392"/>
      <c r="T53" s="392"/>
      <c r="U53" s="392"/>
      <c r="V53" s="392"/>
      <c r="W53" s="393"/>
      <c r="X53" s="391"/>
      <c r="Y53" s="392"/>
      <c r="Z53" s="392"/>
      <c r="AA53" s="392"/>
      <c r="AB53" s="392"/>
      <c r="AC53" s="393"/>
      <c r="AD53" s="391"/>
      <c r="AE53" s="392"/>
      <c r="AF53" s="392"/>
      <c r="AG53" s="392"/>
      <c r="AH53" s="392"/>
      <c r="AI53" s="393"/>
      <c r="AJ53" s="391"/>
      <c r="AK53" s="392"/>
      <c r="AL53" s="392"/>
      <c r="AM53" s="392"/>
      <c r="AN53" s="392"/>
      <c r="AO53" s="393"/>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391"/>
      <c r="M54" s="392"/>
      <c r="N54" s="392"/>
      <c r="O54" s="392"/>
      <c r="P54" s="392"/>
      <c r="Q54" s="393"/>
      <c r="R54" s="391"/>
      <c r="S54" s="392"/>
      <c r="T54" s="392"/>
      <c r="U54" s="392"/>
      <c r="V54" s="392"/>
      <c r="W54" s="393"/>
      <c r="X54" s="391"/>
      <c r="Y54" s="392"/>
      <c r="Z54" s="392"/>
      <c r="AA54" s="392"/>
      <c r="AB54" s="392"/>
      <c r="AC54" s="393"/>
      <c r="AD54" s="391"/>
      <c r="AE54" s="392"/>
      <c r="AF54" s="392"/>
      <c r="AG54" s="392"/>
      <c r="AH54" s="392"/>
      <c r="AI54" s="393"/>
      <c r="AJ54" s="391"/>
      <c r="AK54" s="392"/>
      <c r="AL54" s="392"/>
      <c r="AM54" s="392"/>
      <c r="AN54" s="392"/>
      <c r="AO54" s="393"/>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391"/>
      <c r="M55" s="392"/>
      <c r="N55" s="392"/>
      <c r="O55" s="392"/>
      <c r="P55" s="392"/>
      <c r="Q55" s="393"/>
      <c r="R55" s="391"/>
      <c r="S55" s="392"/>
      <c r="T55" s="392"/>
      <c r="U55" s="392"/>
      <c r="V55" s="392"/>
      <c r="W55" s="393"/>
      <c r="X55" s="391"/>
      <c r="Y55" s="392"/>
      <c r="Z55" s="392"/>
      <c r="AA55" s="392"/>
      <c r="AB55" s="392"/>
      <c r="AC55" s="393"/>
      <c r="AD55" s="391"/>
      <c r="AE55" s="392"/>
      <c r="AF55" s="392"/>
      <c r="AG55" s="392"/>
      <c r="AH55" s="392"/>
      <c r="AI55" s="393"/>
      <c r="AJ55" s="391"/>
      <c r="AK55" s="392"/>
      <c r="AL55" s="392"/>
      <c r="AM55" s="392"/>
      <c r="AN55" s="392"/>
      <c r="AO55" s="393"/>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394"/>
      <c r="M56" s="395"/>
      <c r="N56" s="395"/>
      <c r="O56" s="395"/>
      <c r="P56" s="395"/>
      <c r="Q56" s="396"/>
      <c r="R56" s="394"/>
      <c r="S56" s="395"/>
      <c r="T56" s="395"/>
      <c r="U56" s="395"/>
      <c r="V56" s="395"/>
      <c r="W56" s="396"/>
      <c r="X56" s="394"/>
      <c r="Y56" s="395"/>
      <c r="Z56" s="395"/>
      <c r="AA56" s="395"/>
      <c r="AB56" s="395"/>
      <c r="AC56" s="396"/>
      <c r="AD56" s="394"/>
      <c r="AE56" s="395"/>
      <c r="AF56" s="395"/>
      <c r="AG56" s="395"/>
      <c r="AH56" s="395"/>
      <c r="AI56" s="396"/>
      <c r="AJ56" s="394"/>
      <c r="AK56" s="395"/>
      <c r="AL56" s="395"/>
      <c r="AM56" s="395"/>
      <c r="AN56" s="395"/>
      <c r="AO56" s="396"/>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1" width="5.7109375" customWidth="1"/>
    <col min="12" max="12" width="12" customWidth="1"/>
    <col min="13" max="19" width="5.7109375" customWidth="1"/>
    <col min="20" max="20" width="6.7109375" customWidth="1"/>
    <col min="21" max="24" width="5.7109375" customWidth="1"/>
    <col min="25" max="25" width="8.42578125" customWidth="1"/>
    <col min="26" max="27" width="5.7109375" customWidth="1"/>
    <col min="28" max="29" width="10.7109375" customWidth="1"/>
    <col min="30" max="30" width="7.42578125" customWidth="1"/>
    <col min="31" max="32" width="5.7109375" customWidth="1"/>
    <col min="33" max="33" width="10.7109375" customWidth="1"/>
    <col min="34" max="34" width="11" customWidth="1"/>
    <col min="35" max="35" width="9.5703125" customWidth="1"/>
    <col min="36" max="36" width="12.42578125" customWidth="1"/>
    <col min="37" max="37" width="10.42578125" customWidth="1"/>
    <col min="38" max="38" width="10" customWidth="1"/>
    <col min="39" max="40" width="5.7109375" customWidth="1"/>
    <col min="42" max="47" width="5.7109375" customWidth="1"/>
  </cols>
  <sheetData>
    <row r="1" spans="1:92" ht="15.75" thickBot="1" x14ac:dyDescent="0.3"/>
    <row r="2" spans="1:92" x14ac:dyDescent="0.25">
      <c r="C2" s="410" t="s">
        <v>251</v>
      </c>
      <c r="D2" s="411"/>
      <c r="E2" s="411"/>
      <c r="F2" s="411"/>
      <c r="G2" s="411"/>
      <c r="H2" s="411"/>
      <c r="I2" s="411"/>
      <c r="J2" s="412"/>
      <c r="K2" s="401" t="s">
        <v>205</v>
      </c>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3"/>
      <c r="AO2" s="264" t="s">
        <v>376</v>
      </c>
      <c r="AP2" s="398"/>
      <c r="AQ2" s="398"/>
      <c r="AR2" s="398"/>
      <c r="AS2" s="398"/>
      <c r="AT2" s="398"/>
      <c r="AU2" s="253"/>
    </row>
    <row r="3" spans="1:92" x14ac:dyDescent="0.25">
      <c r="C3" s="413"/>
      <c r="D3" s="414"/>
      <c r="E3" s="414"/>
      <c r="F3" s="414"/>
      <c r="G3" s="414"/>
      <c r="H3" s="414"/>
      <c r="I3" s="414"/>
      <c r="J3" s="415"/>
      <c r="K3" s="404"/>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6"/>
      <c r="AO3" s="265" t="s">
        <v>264</v>
      </c>
      <c r="AP3" s="399"/>
      <c r="AQ3" s="399"/>
      <c r="AR3" s="399"/>
      <c r="AS3" s="399"/>
      <c r="AT3" s="399"/>
      <c r="AU3" s="255"/>
    </row>
    <row r="4" spans="1:92" x14ac:dyDescent="0.25">
      <c r="C4" s="413"/>
      <c r="D4" s="414"/>
      <c r="E4" s="414"/>
      <c r="F4" s="414"/>
      <c r="G4" s="414"/>
      <c r="H4" s="414"/>
      <c r="I4" s="414"/>
      <c r="J4" s="415"/>
      <c r="K4" s="404"/>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c r="AM4" s="405"/>
      <c r="AN4" s="406"/>
      <c r="AO4" s="265" t="s">
        <v>388</v>
      </c>
      <c r="AP4" s="399" t="s">
        <v>263</v>
      </c>
      <c r="AQ4" s="399"/>
      <c r="AR4" s="399"/>
      <c r="AS4" s="399"/>
      <c r="AT4" s="399"/>
      <c r="AU4" s="255"/>
    </row>
    <row r="5" spans="1:92" ht="15.75" thickBot="1" x14ac:dyDescent="0.3">
      <c r="C5" s="416"/>
      <c r="D5" s="417"/>
      <c r="E5" s="417"/>
      <c r="F5" s="417"/>
      <c r="G5" s="417"/>
      <c r="H5" s="417"/>
      <c r="I5" s="417"/>
      <c r="J5" s="418"/>
      <c r="K5" s="407"/>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9"/>
      <c r="AO5" s="266" t="s">
        <v>245</v>
      </c>
      <c r="AP5" s="400" t="s">
        <v>245</v>
      </c>
      <c r="AQ5" s="400"/>
      <c r="AR5" s="400"/>
      <c r="AS5" s="400"/>
      <c r="AT5" s="400"/>
      <c r="AU5" s="257"/>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458" t="s">
        <v>266</v>
      </c>
      <c r="B8" s="458"/>
      <c r="C8" s="488" t="s">
        <v>156</v>
      </c>
      <c r="D8" s="489"/>
      <c r="E8" s="489"/>
      <c r="F8" s="489"/>
      <c r="G8" s="489"/>
      <c r="H8" s="489"/>
      <c r="I8" s="489"/>
      <c r="J8" s="489"/>
      <c r="K8" s="490" t="s">
        <v>2</v>
      </c>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89"/>
      <c r="D9" s="489"/>
      <c r="E9" s="489"/>
      <c r="F9" s="489"/>
      <c r="G9" s="489"/>
      <c r="H9" s="489"/>
      <c r="I9" s="489"/>
      <c r="J9" s="489"/>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490"/>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89"/>
      <c r="D10" s="489"/>
      <c r="E10" s="489"/>
      <c r="F10" s="489"/>
      <c r="G10" s="489"/>
      <c r="H10" s="489"/>
      <c r="I10" s="489"/>
      <c r="J10" s="489"/>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419" t="s">
        <v>4</v>
      </c>
      <c r="D12" s="419"/>
      <c r="E12" s="420"/>
      <c r="F12" s="459" t="s">
        <v>115</v>
      </c>
      <c r="G12" s="460"/>
      <c r="H12" s="460"/>
      <c r="I12" s="460"/>
      <c r="J12" s="460"/>
      <c r="K12" s="32" t="str">
        <f>IF(AND('Mapa final'!$AL$15="Muy Alta",'Mapa final'!$AN$15="Leve"),CONCATENATE("R2C",'Mapa final'!$U$15),"")</f>
        <v/>
      </c>
      <c r="L12" s="33" t="str">
        <f>IF(AND('Mapa final'!$AL$16="Muy Alta",'Mapa final'!$AN$16="Leve"),CONCATENATE("R2C",'Mapa final'!$U$16),"")</f>
        <v/>
      </c>
      <c r="M12" s="33" t="str">
        <f>IF(AND('Mapa final'!$AL$17="Muy Alta",'Mapa final'!$AN$17="Leve"),CONCATENATE("R2C",'Mapa final'!$U$17),"")</f>
        <v/>
      </c>
      <c r="N12" s="33" t="str">
        <f>IF(AND('Mapa final'!$AL$18="Muy Alta",'Mapa final'!$AN$18="Leve"),CONCATENATE("R2C",'Mapa final'!$U$18),"")</f>
        <v/>
      </c>
      <c r="O12" s="33" t="str">
        <f>IF(AND('Mapa final'!$AL$19="Muy Alta",'Mapa final'!$AN$19="Leve"),CONCATENATE("R2C",'Mapa final'!$U$19),"")</f>
        <v/>
      </c>
      <c r="P12" s="34" t="str">
        <f>IF(AND('Mapa final'!$AL$20="Muy Alta",'Mapa final'!$AN$20="Leve"),CONCATENATE("R2C",'Mapa final'!$U$20),"")</f>
        <v/>
      </c>
      <c r="Q12" s="33" t="str">
        <f>IF(AND('Mapa final'!$AL$15="Muy Alta",'Mapa final'!$AN$15="Menor"),CONCATENATE("R2C",'Mapa final'!$U$15),"")</f>
        <v/>
      </c>
      <c r="R12" s="33" t="str">
        <f>IF(AND('Mapa final'!$AL$16="Muy Alta",'Mapa final'!$AN$16="Menore"),CONCATENATE("R2C",'Mapa final'!$U$16),"")</f>
        <v/>
      </c>
      <c r="S12" s="33" t="str">
        <f>IF(AND('Mapa final'!$AL$17="Muy Alta",'Mapa final'!$AN$17="Menor"),CONCATENATE("R2C",'Mapa final'!$U$17),"")</f>
        <v/>
      </c>
      <c r="T12" s="33" t="str">
        <f>IF(AND('Mapa final'!$AL$18="Muy Alta",'Mapa final'!$AN$18="Menor"),CONCATENATE("R2C",'Mapa final'!$U$18),"")</f>
        <v/>
      </c>
      <c r="U12" s="33" t="str">
        <f>IF(AND('Mapa final'!$AL$19="Muy Alta",'Mapa final'!$AN$19="Menor"),CONCATENATE("R2C",'Mapa final'!$U$19),"")</f>
        <v/>
      </c>
      <c r="V12" s="34" t="str">
        <f>IF(AND('Mapa final'!$AL$20="Muy Alta",'Mapa final'!$AN$20="Menor"),CONCATENATE("R2C",'Mapa final'!$U$20),"")</f>
        <v/>
      </c>
      <c r="W12" s="32" t="str">
        <f>IF(AND('Mapa final'!$AL$15="Muy Alta",'Mapa final'!$AN$15="Moderado"),CONCATENATE("R2C",'Mapa final'!$U$15),"")</f>
        <v/>
      </c>
      <c r="X12" s="33" t="str">
        <f>IF(AND('Mapa final'!$AL$16="Muy Alta",'Mapa final'!$AN$16="Moderado"),CONCATENATE("R2C",'Mapa final'!$U$16),"")</f>
        <v/>
      </c>
      <c r="Y12" s="33"/>
      <c r="Z12" s="33" t="str">
        <f>IF(AND('Mapa final'!$AL$18="Muy Alta",'Mapa final'!$AN$18="Moderado"),CONCATENATE("R2C",'Mapa final'!$U$18),"")</f>
        <v/>
      </c>
      <c r="AA12" s="33" t="str">
        <f>IF(AND('Mapa final'!$AL$19="Muy Alta",'Mapa final'!$AN$19="Moderado"),CONCATENATE("R2C",'Mapa final'!$U$19),"")</f>
        <v/>
      </c>
      <c r="AB12" s="34" t="str">
        <f>IF(AND('Mapa final'!$AL$20="Muy Alta",'Mapa final'!$AN$20="Moderado"),CONCATENATE("R2C",'Mapa final'!$U$20),"")</f>
        <v/>
      </c>
      <c r="AC12" s="32" t="str">
        <f>IF(AND('Mapa final'!$AL$15="Muy Alta",'Mapa final'!$AN$15="Mayor"),CONCATENATE("R2C",'Mapa final'!$U$15),"")</f>
        <v/>
      </c>
      <c r="AD12" s="33" t="str">
        <f>IF(AND('Mapa final'!$AL$16="Muy Alta",'Mapa final'!$AN$16="Mayor"),CONCATENATE("R2C",'Mapa final'!$U$16),"")</f>
        <v/>
      </c>
      <c r="AE12" s="33" t="str">
        <f>IF(AND('Mapa final'!$AL$17="Muy Alta",'Mapa final'!$AN$17="Mayor"),CONCATENATE("R2C",'Mapa final'!$U$17),"")</f>
        <v/>
      </c>
      <c r="AF12" s="33" t="str">
        <f>IF(AND('Mapa final'!$AL$18="Muy Alta",'Mapa final'!$AN$18="Mayor"),CONCATENATE("R2C",'Mapa final'!$U$18),"")</f>
        <v/>
      </c>
      <c r="AG12" s="33" t="str">
        <f>IF(AND('Mapa final'!$AL$19="Muy Alta",'Mapa final'!$AN$19="Mayor"),CONCATENATE("R2C",'Mapa final'!$U$19),"")</f>
        <v/>
      </c>
      <c r="AH12" s="34" t="str">
        <f>IF(AND('Mapa final'!$AL$20="Muy Alta",'Mapa final'!$AN$20="Mayor"),CONCATENATE("R2C",'Mapa final'!$U$20),"")</f>
        <v/>
      </c>
      <c r="AI12" s="35" t="str">
        <f>IF(AND('Mapa final'!$AL$15="Muy Alta",'Mapa final'!$AN$15="Catastrófico"),CONCATENATE("R2C",'Mapa final'!$U$15),"")</f>
        <v/>
      </c>
      <c r="AJ12" s="36" t="str">
        <f>IF(AND('Mapa final'!$AL$16="Muy Alta",'Mapa final'!$AN$16="Catastrófico"),CONCATENATE("R2C",'Mapa final'!$U$16),"")</f>
        <v/>
      </c>
      <c r="AK12" s="36" t="str">
        <f>IF(AND('Mapa final'!$AL$17="Muy Alta",'Mapa final'!$AN$17="Catastrófico"),CONCATENATE("R2C",'Mapa final'!$U$17),"")</f>
        <v/>
      </c>
      <c r="AL12" s="36" t="str">
        <f>IF(AND('Mapa final'!$AL$18="Muy Alta",'Mapa final'!$AN$18="Catastrófico"),CONCATENATE("R2C",'Mapa final'!$U$18),"")</f>
        <v/>
      </c>
      <c r="AM12" s="36" t="str">
        <f>IF(AND('Mapa final'!$AL$19="Muy Alta",'Mapa final'!$AN$19="Catastrófico"),CONCATENATE("R2C",'Mapa final'!$U$19),"")</f>
        <v/>
      </c>
      <c r="AN12" s="37" t="str">
        <f>IF(AND('Mapa final'!$AL$20="Muy Alta",'Mapa final'!$AN$20="Catastrófico"),CONCATENATE("R2C",'Mapa final'!$U$20),"")</f>
        <v/>
      </c>
      <c r="AO12" s="69"/>
      <c r="AP12" s="479" t="s">
        <v>78</v>
      </c>
      <c r="AQ12" s="480"/>
      <c r="AR12" s="480"/>
      <c r="AS12" s="480"/>
      <c r="AT12" s="480"/>
      <c r="AU12" s="481"/>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419"/>
      <c r="D13" s="419"/>
      <c r="E13" s="420"/>
      <c r="F13" s="462"/>
      <c r="G13" s="463"/>
      <c r="H13" s="463"/>
      <c r="I13" s="463"/>
      <c r="J13" s="463"/>
      <c r="K13" s="38" t="str">
        <f>IF(AND('Mapa final'!$AL$23="Muy Alta",'Mapa final'!$AN$23="Leve"),CONCATENATE("R2C",'Mapa final'!$U$23),"")</f>
        <v/>
      </c>
      <c r="L13" s="39" t="str">
        <f>IF(AND('Mapa final'!$AL$24="Muy Alta",'Mapa final'!$AN$24="Leve"),CONCATENATE("R2C",'Mapa final'!$U$24),"")</f>
        <v/>
      </c>
      <c r="M13" s="39" t="str">
        <f>IF(AND('Mapa final'!$AL$25="Muy Alta",'Mapa final'!$AN$25="Leve"),CONCATENATE("R2C",'Mapa final'!$U$25),"")</f>
        <v/>
      </c>
      <c r="N13" s="39" t="str">
        <f>IF(AND('Mapa final'!$AL$26="Muy Alta",'Mapa final'!$AN$26="Leve"),CONCATENATE("R2C",'Mapa final'!$U$26),"")</f>
        <v/>
      </c>
      <c r="O13" s="39" t="str">
        <f>IF(AND('Mapa final'!$AL$27="Muy Alta",'Mapa final'!$AN$27="Leve"),CONCATENATE("R2C",'Mapa final'!$U$27),"")</f>
        <v/>
      </c>
      <c r="P13" s="40" t="str">
        <f>IF(AND('Mapa final'!$AL$28="Muy Alta",'Mapa final'!$AN$28="Leve"),CONCATENATE("R2C",'Mapa final'!$U$28),"")</f>
        <v/>
      </c>
      <c r="Q13" s="39" t="str">
        <f>IF(AND('Mapa final'!$AL$23="Muy Alta",'Mapa final'!$AN$23="Menor"),CONCATENATE("R2C",'Mapa final'!$U$23),"")</f>
        <v/>
      </c>
      <c r="R13" s="39" t="str">
        <f>IF(AND('Mapa final'!$AL$24="Muy Alta",'Mapa final'!$AN$24="Menor"),CONCATENATE("R2C",'Mapa final'!$U$24),"")</f>
        <v/>
      </c>
      <c r="S13" s="39" t="str">
        <f>IF(AND('Mapa final'!$AL$25="Muy Alta",'Mapa final'!$AN$25="Menor"),CONCATENATE("R2C",'Mapa final'!$U$25),"")</f>
        <v/>
      </c>
      <c r="T13" s="39" t="str">
        <f>IF(AND('Mapa final'!$AL$26="Muy Alta",'Mapa final'!$AN$26="Menor"),CONCATENATE("R2C",'Mapa final'!$U$26),"")</f>
        <v/>
      </c>
      <c r="U13" s="39" t="str">
        <f>IF(AND('Mapa final'!$AL$27="Muy Alta",'Mapa final'!$AN$27="Menor"),CONCATENATE("R2C",'Mapa final'!$U$27),"")</f>
        <v/>
      </c>
      <c r="V13" s="40" t="str">
        <f>IF(AND('Mapa final'!$AL$28="Muy Alta",'Mapa final'!$AN$28="Menor"),CONCATENATE("R2C",'Mapa final'!$U$28),"")</f>
        <v/>
      </c>
      <c r="W13" s="38" t="str">
        <f>IF(AND('Mapa final'!$AL$23="Muy Alta",'Mapa final'!$AN$23="Moderado"),CONCATENATE("R2C",'Mapa final'!$U$23),"")</f>
        <v/>
      </c>
      <c r="X13" s="39" t="str">
        <f>IF(AND('Mapa final'!$AL$24="Muy Alta",'Mapa final'!$AN$24="Moderado"),CONCATENATE("R2C",'Mapa final'!$U$24),"")</f>
        <v/>
      </c>
      <c r="Y13" s="39" t="str">
        <f>IF(AND('Mapa final'!$AL$25="Muy Alta",'Mapa final'!$AN$25="Moderado"),CONCATENATE("R2C",'Mapa final'!$U$25),"")</f>
        <v/>
      </c>
      <c r="Z13" s="39" t="str">
        <f>IF(AND('Mapa final'!$AL$26="Muy Alta",'Mapa final'!$AN$26="Moderado"),CONCATENATE("R2C",'Mapa final'!$U$26),"")</f>
        <v/>
      </c>
      <c r="AA13" s="39" t="str">
        <f>IF(AND('Mapa final'!$AL$27="Muy Alta",'Mapa final'!$AN$27="Moderado"),CONCATENATE("R2C",'Mapa final'!$U$27),"")</f>
        <v/>
      </c>
      <c r="AB13" s="40" t="str">
        <f>IF(AND('Mapa final'!$AL$28="Muy Alta",'Mapa final'!$AN$28="Moderado"),CONCATENATE("R2C",'Mapa final'!$U$28),"")</f>
        <v/>
      </c>
      <c r="AC13" s="38" t="str">
        <f>IF(AND('Mapa final'!$AL$23="Muy Alta",'Mapa final'!$AN$23="Mayor"),CONCATENATE("R2C",'Mapa final'!$U$23),"")</f>
        <v/>
      </c>
      <c r="AD13" s="39" t="str">
        <f>IF(AND('Mapa final'!$AL$24="Muy Alta",'Mapa final'!$AN$24="Mayor"),CONCATENATE("R2C",'Mapa final'!$U$24),"")</f>
        <v/>
      </c>
      <c r="AE13" s="39" t="str">
        <f>IF(AND('Mapa final'!$AL$25="Muy Alta",'Mapa final'!$AN$25="Mayor"),CONCATENATE("R2C",'Mapa final'!$U$25),"")</f>
        <v/>
      </c>
      <c r="AF13" s="39" t="str">
        <f>IF(AND('Mapa final'!$AL$26="Muy Alta",'Mapa final'!$AN$26="Mayor"),CONCATENATE("R2C",'Mapa final'!$U$26),"")</f>
        <v/>
      </c>
      <c r="AG13" s="39" t="str">
        <f>IF(AND('Mapa final'!$AL$27="Muy Alta",'Mapa final'!$AN$27="Mayor"),CONCATENATE("R2C",'Mapa final'!$U$27),"")</f>
        <v/>
      </c>
      <c r="AH13" s="40" t="str">
        <f>IF(AND('Mapa final'!$AL$28="Muy Alta",'Mapa final'!$AN$28="Mayor"),CONCATENATE("R2C",'Mapa final'!$U$28),"")</f>
        <v/>
      </c>
      <c r="AI13" s="41" t="str">
        <f>IF(AND('Mapa final'!$AL$23="Muy Alta",'Mapa final'!$AN$23="Catastrófico"),CONCATENATE("R2C",'Mapa final'!$U$23),"")</f>
        <v/>
      </c>
      <c r="AJ13" s="42" t="str">
        <f>IF(AND('Mapa final'!$AL$24="Muy Alta",'Mapa final'!$AN$24="Catastrófico"),CONCATENATE("R2C",'Mapa final'!$U$24),"")</f>
        <v/>
      </c>
      <c r="AK13" s="42" t="str">
        <f>IF(AND('Mapa final'!$AL$25="Muy Alta",'Mapa final'!$AN$25="Catastrófico"),CONCATENATE("R2C",'Mapa final'!$U$25),"")</f>
        <v/>
      </c>
      <c r="AL13" s="42" t="str">
        <f>IF(AND('Mapa final'!$AL$26="Muy Alta",'Mapa final'!$AN$26="Catastrófico"),CONCATENATE("R2C",'Mapa final'!$U$26),"")</f>
        <v/>
      </c>
      <c r="AM13" s="42" t="str">
        <f>IF(AND('Mapa final'!$AL$27="Muy Alta",'Mapa final'!$AN$27="Catastrófico"),CONCATENATE("R2C",'Mapa final'!$U$27),"")</f>
        <v/>
      </c>
      <c r="AN13" s="43" t="str">
        <f>IF(AND('Mapa final'!$AL$28="Muy Alta",'Mapa final'!$AN$28="Catastrófico"),CONCATENATE("R2C",'Mapa final'!$U$28),"")</f>
        <v/>
      </c>
      <c r="AO13" s="69"/>
      <c r="AP13" s="482"/>
      <c r="AQ13" s="483"/>
      <c r="AR13" s="483"/>
      <c r="AS13" s="483"/>
      <c r="AT13" s="483"/>
      <c r="AU13" s="484"/>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419"/>
      <c r="D14" s="419"/>
      <c r="E14" s="420"/>
      <c r="F14" s="462"/>
      <c r="G14" s="463"/>
      <c r="H14" s="463"/>
      <c r="I14" s="463"/>
      <c r="J14" s="463"/>
      <c r="K14" s="38" t="str">
        <f>IF(AND('Mapa final'!$AL$29="Muy Alta",'Mapa final'!$AN$29="Leve"),CONCATENATE("R2C",'Mapa final'!$U$29),"")</f>
        <v/>
      </c>
      <c r="L14" s="39" t="str">
        <f>IF(AND('Mapa final'!$AL$30="Muy Alta",'Mapa final'!$AN$30="Leve"),CONCATENATE("R2C",'Mapa final'!$U$30),"")</f>
        <v/>
      </c>
      <c r="M14" s="39" t="str">
        <f>IF(AND('Mapa final'!$AL$31="Muy Alta",'Mapa final'!$AN$31="Leve"),CONCATENATE("R2C",'Mapa final'!$U$31),"")</f>
        <v/>
      </c>
      <c r="N14" s="39" t="str">
        <f>IF(AND('Mapa final'!$AL$32="Muy Alta",'Mapa final'!$AN$32="Leve"),CONCATENATE("R2C",'Mapa final'!$U$32),"")</f>
        <v/>
      </c>
      <c r="O14" s="39" t="str">
        <f>IF(AND('Mapa final'!$AL$33="Muy Alta",'Mapa final'!$AN$33="Leve"),CONCATENATE("R2C",'Mapa final'!$U$33),"")</f>
        <v/>
      </c>
      <c r="P14" s="40" t="str">
        <f>IF(AND('Mapa final'!$AL$34="Muy Alta",'Mapa final'!$AN$34="Leve"),CONCATENATE("R2C",'Mapa final'!$U$34),"")</f>
        <v/>
      </c>
      <c r="Q14" s="39" t="str">
        <f>IF(AND('Mapa final'!$AL$29="Muy Alta",'Mapa final'!$AN$29="Menor"),CONCATENATE("R2C",'Mapa final'!$U$29),"")</f>
        <v/>
      </c>
      <c r="R14" s="39" t="str">
        <f>IF(AND('Mapa final'!$AL$30="Muy Alta",'Mapa final'!$AN$30="Menor"),CONCATENATE("R2C",'Mapa final'!$U$30),"")</f>
        <v/>
      </c>
      <c r="S14" s="39" t="str">
        <f>IF(AND('Mapa final'!$AL$31="Muy Alta",'Mapa final'!$AN$31="Menor"),CONCATENATE("R2C",'Mapa final'!$U$31),"")</f>
        <v/>
      </c>
      <c r="T14" s="39" t="str">
        <f>IF(AND('Mapa final'!$AL$32="Muy Alta",'Mapa final'!$AN$32="Menor"),CONCATENATE("R2C",'Mapa final'!$U$32),"")</f>
        <v/>
      </c>
      <c r="U14" s="39" t="str">
        <f>IF(AND('Mapa final'!$AL$33="Muy Alta",'Mapa final'!$AN$33="Menor"),CONCATENATE("R2C",'Mapa final'!$U$33),"")</f>
        <v/>
      </c>
      <c r="V14" s="40" t="str">
        <f>IF(AND('Mapa final'!$AL$34="Muy Alta",'Mapa final'!$AN$34="Menor"),CONCATENATE("R2C",'Mapa final'!$U$34),"")</f>
        <v/>
      </c>
      <c r="W14" s="38" t="str">
        <f>IF(AND('Mapa final'!$AL$29="Muy Alta",'Mapa final'!$AN$29="Moderado"),CONCATENATE("R2C",'Mapa final'!$U$29),"")</f>
        <v/>
      </c>
      <c r="X14" s="39" t="str">
        <f>IF(AND('Mapa final'!$AL$30="Muy Alta",'Mapa final'!$AN$30="Moderado"),CONCATENATE("R2C",'Mapa final'!$U$30),"")</f>
        <v/>
      </c>
      <c r="Y14" s="39" t="str">
        <f>IF(AND('Mapa final'!$AL$31="Muy Alta",'Mapa final'!$AN$31="Moderado"),CONCATENATE("R2C",'Mapa final'!$U$31),"")</f>
        <v/>
      </c>
      <c r="Z14" s="39" t="str">
        <f>IF(AND('Mapa final'!$AL$32="Muy Alta",'Mapa final'!$AN$32="Moderado"),CONCATENATE("R2C",'Mapa final'!$U$32),"")</f>
        <v/>
      </c>
      <c r="AA14" s="39" t="str">
        <f>IF(AND('Mapa final'!$AL$33="Muy Alta",'Mapa final'!$AN$33="Moderado"),CONCATENATE("R2C",'Mapa final'!$U$33),"")</f>
        <v/>
      </c>
      <c r="AB14" s="40" t="str">
        <f>IF(AND('Mapa final'!$AL$34="Muy Alta",'Mapa final'!$AN$34="Moderado"),CONCATENATE("R2C",'Mapa final'!$U$34),"")</f>
        <v/>
      </c>
      <c r="AC14" s="38" t="str">
        <f>IF(AND('Mapa final'!$AL$29="Muy Alta",'Mapa final'!$AN$29="Mayor"),CONCATENATE("R2C",'Mapa final'!$U$29),"")</f>
        <v/>
      </c>
      <c r="AD14" s="39" t="str">
        <f>IF(AND('Mapa final'!$AL$30="Muy Alta",'Mapa final'!$AN$30="Mayor"),CONCATENATE("R2C",'Mapa final'!$U$30),"")</f>
        <v/>
      </c>
      <c r="AE14" s="39" t="str">
        <f>IF(AND('Mapa final'!$AL$31="Muy Alta",'Mapa final'!$AN$31="Mayor"),CONCATENATE("R2C",'Mapa final'!$U$31),"")</f>
        <v/>
      </c>
      <c r="AF14" s="39" t="str">
        <f>IF(AND('Mapa final'!$AL$32="Muy Alta",'Mapa final'!$AN$32="Mayor"),CONCATENATE("R2C",'Mapa final'!$U$32),"")</f>
        <v/>
      </c>
      <c r="AG14" s="39" t="str">
        <f>IF(AND('Mapa final'!$AL$33="Muy Alta",'Mapa final'!$AN$33="Mayor"),CONCATENATE("R2C",'Mapa final'!$U$33),"")</f>
        <v/>
      </c>
      <c r="AH14" s="40" t="str">
        <f>IF(AND('Mapa final'!$AL$34="Muy Alta",'Mapa final'!$AN$34="Mayor"),CONCATENATE("R2C",'Mapa final'!$U$34),"")</f>
        <v/>
      </c>
      <c r="AI14" s="41" t="str">
        <f>IF(AND('Mapa final'!$AL$29="Muy Alta",'Mapa final'!$AN$29="Catastrófico"),CONCATENATE("R2C",'Mapa final'!$U$29),"")</f>
        <v/>
      </c>
      <c r="AJ14" s="42" t="str">
        <f>IF(AND('Mapa final'!$AL$30="Muy Alta",'Mapa final'!$AN$30="Catastrófico"),CONCATENATE("R2C",'Mapa final'!$U$30),"")</f>
        <v/>
      </c>
      <c r="AK14" s="42" t="str">
        <f>IF(AND('Mapa final'!$AL$31="Muy Alta",'Mapa final'!$AN$31="Catastrófico"),CONCATENATE("R2C",'Mapa final'!$U$31),"")</f>
        <v/>
      </c>
      <c r="AL14" s="42" t="str">
        <f>IF(AND('Mapa final'!$AL$32="Muy Alta",'Mapa final'!$AN$32="Catastrófico"),CONCATENATE("R2C",'Mapa final'!$U$32),"")</f>
        <v/>
      </c>
      <c r="AM14" s="42" t="str">
        <f>IF(AND('Mapa final'!$AL$33="Muy Alta",'Mapa final'!$AN$33="Catastrófico"),CONCATENATE("R2C",'Mapa final'!$U$33),"")</f>
        <v/>
      </c>
      <c r="AN14" s="43" t="str">
        <f>IF(AND('Mapa final'!$AL$34="Muy Alta",'Mapa final'!$AN$34="Catastrófico"),CONCATENATE("R2C",'Mapa final'!$U$34),"")</f>
        <v/>
      </c>
      <c r="AO14" s="69"/>
      <c r="AP14" s="482"/>
      <c r="AQ14" s="483"/>
      <c r="AR14" s="483"/>
      <c r="AS14" s="483"/>
      <c r="AT14" s="483"/>
      <c r="AU14" s="484"/>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419"/>
      <c r="D15" s="419"/>
      <c r="E15" s="420"/>
      <c r="F15" s="462"/>
      <c r="G15" s="463"/>
      <c r="H15" s="463"/>
      <c r="I15" s="463"/>
      <c r="J15" s="463"/>
      <c r="K15" s="38" t="str">
        <f>IF(AND('Mapa final'!$AL$35="Muy Alta",'Mapa final'!$AN$35="Leve"),CONCATENATE("R2C",'Mapa final'!$U$35),"")</f>
        <v/>
      </c>
      <c r="L15" s="39" t="str">
        <f>IF(AND('Mapa final'!$AL$36="Muy Alta",'Mapa final'!$AN$36="Leve"),CONCATENATE("R2C",'Mapa final'!$U$36),"")</f>
        <v/>
      </c>
      <c r="M15" s="39" t="str">
        <f>IF(AND('Mapa final'!$AL$37="Muy Alta",'Mapa final'!$AN$37="Leve"),CONCATENATE("R2C",'Mapa final'!$U$37),"")</f>
        <v/>
      </c>
      <c r="N15" s="39" t="str">
        <f>IF(AND('Mapa final'!$AL$38="Muy Alta",'Mapa final'!$AN$38="Leve"),CONCATENATE("R2C",'Mapa final'!$U$38),"")</f>
        <v/>
      </c>
      <c r="O15" s="39" t="str">
        <f>IF(AND('Mapa final'!$AL$39="Muy Alta",'Mapa final'!$AN$39="Leve"),CONCATENATE("R2C",'Mapa final'!$U$39),"")</f>
        <v/>
      </c>
      <c r="P15" s="40" t="str">
        <f>IF(AND('Mapa final'!$AL$40="Muy Alta",'Mapa final'!$AN$40="Leve"),CONCATENATE("R2C",'Mapa final'!$U$40),"")</f>
        <v/>
      </c>
      <c r="Q15" s="39" t="str">
        <f>IF(AND('Mapa final'!$AL$35="Muy Alta",'Mapa final'!$AN$35="Menor"),CONCATENATE("R2C",'Mapa final'!$U$35),"")</f>
        <v/>
      </c>
      <c r="R15" s="39" t="str">
        <f>IF(AND('Mapa final'!$AL$36="Muy Alta",'Mapa final'!$AN$36="Menor"),CONCATENATE("R2C",'Mapa final'!$U$36),"")</f>
        <v/>
      </c>
      <c r="S15" s="39" t="str">
        <f>IF(AND('Mapa final'!$AL$37="Muy Alta",'Mapa final'!$AN$37="Menor"),CONCATENATE("R2C",'Mapa final'!$U$37),"")</f>
        <v/>
      </c>
      <c r="T15" s="39" t="str">
        <f>IF(AND('Mapa final'!$AL$38="Muy Alta",'Mapa final'!$AN$38="Menor"),CONCATENATE("R2C",'Mapa final'!$U$38),"")</f>
        <v/>
      </c>
      <c r="U15" s="39" t="str">
        <f>IF(AND('Mapa final'!$AL$39="Muy Alta",'Mapa final'!$AN$39="LMenor"),CONCATENATE("R2C",'Mapa final'!$U$39),"")</f>
        <v/>
      </c>
      <c r="V15" s="40" t="str">
        <f>IF(AND('Mapa final'!$AL$40="Muy Alta",'Mapa final'!$AN$40="Menor"),CONCATENATE("R2C",'Mapa final'!$U$40),"")</f>
        <v/>
      </c>
      <c r="W15" s="38" t="str">
        <f>IF(AND('Mapa final'!$AL$35="Muy Alta",'Mapa final'!$AN$35="Moderado"),CONCATENATE("R2C",'Mapa final'!$U$35),"")</f>
        <v/>
      </c>
      <c r="X15" s="39" t="str">
        <f>IF(AND('Mapa final'!$AL$36="Muy Alta",'Mapa final'!$AN$36="Moderado"),CONCATENATE("R2C",'Mapa final'!$U$36),"")</f>
        <v/>
      </c>
      <c r="Y15" s="39" t="str">
        <f>IF(AND('Mapa final'!$AL$37="Muy Alta",'Mapa final'!$AN$37="Moderado"),CONCATENATE("R2C",'Mapa final'!$U$37),"")</f>
        <v/>
      </c>
      <c r="Z15" s="39" t="str">
        <f>IF(AND('Mapa final'!$AL$38="Muy Alta",'Mapa final'!$AN$38="Moderado"),CONCATENATE("R2C",'Mapa final'!$U$38),"")</f>
        <v/>
      </c>
      <c r="AA15" s="39" t="str">
        <f>IF(AND('Mapa final'!$AL$39="Muy Alta",'Mapa final'!$AN$39="Moderado"),CONCATENATE("R2C",'Mapa final'!$U$39),"")</f>
        <v/>
      </c>
      <c r="AB15" s="40" t="str">
        <f>IF(AND('Mapa final'!$AL$40="Muy Alta",'Mapa final'!$AN$40="Moderado"),CONCATENATE("R2C",'Mapa final'!$U$40),"")</f>
        <v/>
      </c>
      <c r="AC15" s="38" t="str">
        <f>IF(AND('Mapa final'!$AL$35="Muy Alta",'Mapa final'!$AN$35="Mayor"),CONCATENATE("R2C",'Mapa final'!$U$35),"")</f>
        <v/>
      </c>
      <c r="AD15" s="39" t="str">
        <f>IF(AND('Mapa final'!$AL$36="Muy Alta",'Mapa final'!$AN$36="Mayor"),CONCATENATE("R2C",'Mapa final'!$U$36),"")</f>
        <v/>
      </c>
      <c r="AE15" s="39" t="str">
        <f>IF(AND('Mapa final'!$AL$37="Muy Alta",'Mapa final'!$AN$37="Mayor"),CONCATENATE("R2C",'Mapa final'!$U$37),"")</f>
        <v/>
      </c>
      <c r="AF15" s="39" t="str">
        <f>IF(AND('Mapa final'!$AL$38="Muy Alta",'Mapa final'!$AN$38="Mayor"),CONCATENATE("R2C",'Mapa final'!$U$38),"")</f>
        <v/>
      </c>
      <c r="AG15" s="39" t="str">
        <f>IF(AND('Mapa final'!$AL$39="Muy Alta",'Mapa final'!$AN$39="Mayor"),CONCATENATE("R2C",'Mapa final'!$U$39),"")</f>
        <v/>
      </c>
      <c r="AH15" s="40" t="str">
        <f>IF(AND('Mapa final'!$AL$40="Muy Alta",'Mapa final'!$AN$40="Mayor"),CONCATENATE("R2C",'Mapa final'!$U$40),"")</f>
        <v/>
      </c>
      <c r="AI15" s="41" t="str">
        <f>IF(AND('Mapa final'!$AL$35="Muy Alta",'Mapa final'!$AN$35="Catastrófico"),CONCATENATE("R2C",'Mapa final'!$U$35),"")</f>
        <v/>
      </c>
      <c r="AJ15" s="42" t="str">
        <f>IF(AND('Mapa final'!$AL$36="Muy Alta",'Mapa final'!$AN$36="Catastrófico"),CONCATENATE("R2C",'Mapa final'!$U$36),"")</f>
        <v/>
      </c>
      <c r="AK15" s="42" t="str">
        <f>IF(AND('Mapa final'!$AL$37="Muy Alta",'Mapa final'!$AN$37="Catastrófico"),CONCATENATE("R2C",'Mapa final'!$U$37),"")</f>
        <v/>
      </c>
      <c r="AL15" s="42" t="str">
        <f>IF(AND('Mapa final'!$AL$38="Muy Alta",'Mapa final'!$AN$38="Catastrófico"),CONCATENATE("R2C",'Mapa final'!$U$38),"")</f>
        <v/>
      </c>
      <c r="AM15" s="42" t="str">
        <f>IF(AND('Mapa final'!$AL$39="Muy Alta",'Mapa final'!$AN$39="LCatastrófico"),CONCATENATE("R2C",'Mapa final'!$U$39),"")</f>
        <v/>
      </c>
      <c r="AN15" s="43" t="str">
        <f>IF(AND('Mapa final'!$AL$40="Muy Alta",'Mapa final'!$AN$40="Catastrófico"),CONCATENATE("R2C",'Mapa final'!$U$40),"")</f>
        <v/>
      </c>
      <c r="AO15" s="69"/>
      <c r="AP15" s="482"/>
      <c r="AQ15" s="483"/>
      <c r="AR15" s="483"/>
      <c r="AS15" s="483"/>
      <c r="AT15" s="483"/>
      <c r="AU15" s="484"/>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419"/>
      <c r="D16" s="419"/>
      <c r="E16" s="420"/>
      <c r="F16" s="462"/>
      <c r="G16" s="463"/>
      <c r="H16" s="463"/>
      <c r="I16" s="463"/>
      <c r="J16" s="463"/>
      <c r="K16" s="38" t="str">
        <f>IF(AND('Mapa final'!$AL$41="Muy Alta",'Mapa final'!$AN$41="Leve"),CONCATENATE("R2C",'Mapa final'!$U$41),"")</f>
        <v/>
      </c>
      <c r="L16" s="39" t="str">
        <f>IF(AND('Mapa final'!$AL$42="Muy Alta",'Mapa final'!$AN$42="Leve"),CONCATENATE("R2C",'Mapa final'!$U$42),"")</f>
        <v/>
      </c>
      <c r="M16" s="39" t="str">
        <f>IF(AND('Mapa final'!$AL$43="Muy Alta",'Mapa final'!$AN$43="Leve"),CONCATENATE("R2C",'Mapa final'!$U$43),"")</f>
        <v/>
      </c>
      <c r="N16" s="39" t="str">
        <f>IF(AND('Mapa final'!$AL$44="Muy Alta",'Mapa final'!$AN$44="Leve"),CONCATENATE("R2C",'Mapa final'!$U$44),"")</f>
        <v/>
      </c>
      <c r="O16" s="39" t="str">
        <f>IF(AND('Mapa final'!$AL$45="Muy Alta",'Mapa final'!$AN$45="Leve"),CONCATENATE("R2C",'Mapa final'!$U$45),"")</f>
        <v/>
      </c>
      <c r="P16" s="40" t="str">
        <f>IF(AND('Mapa final'!$AL$46="Muy Alta",'Mapa final'!$AN$46="Leve"),CONCATENATE("R2C",'Mapa final'!$U$46),"")</f>
        <v/>
      </c>
      <c r="Q16" s="39" t="str">
        <f>IF(AND('Mapa final'!$AL$41="Muy Alta",'Mapa final'!$AN$41="Menor"),CONCATENATE("R2C",'Mapa final'!$U$41),"")</f>
        <v/>
      </c>
      <c r="R16" s="39" t="str">
        <f>IF(AND('Mapa final'!$AL$42="Muy Alta",'Mapa final'!$AN$42="Menor"),CONCATENATE("R2C",'Mapa final'!$U$42),"")</f>
        <v/>
      </c>
      <c r="S16" s="39" t="str">
        <f>IF(AND('Mapa final'!$AL$43="Muy Alta",'Mapa final'!$AN$43="Menor"),CONCATENATE("R2C",'Mapa final'!$U$43),"")</f>
        <v/>
      </c>
      <c r="T16" s="39" t="str">
        <f>IF(AND('Mapa final'!$AL$44="Muy Alta",'Mapa final'!$AN$44="Menor"),CONCATENATE("R2C",'Mapa final'!$U$44),"")</f>
        <v/>
      </c>
      <c r="U16" s="39" t="str">
        <f>IF(AND('Mapa final'!$AL$45="Muy Alta",'Mapa final'!$AN$45="Menor"),CONCATENATE("R2C",'Mapa final'!$U$45),"")</f>
        <v/>
      </c>
      <c r="V16" s="40" t="str">
        <f>IF(AND('Mapa final'!$AL$46="Muy Alta",'Mapa final'!$AN$46="Menor"),CONCATENATE("R2C",'Mapa final'!$U$46),"")</f>
        <v/>
      </c>
      <c r="W16" s="38" t="str">
        <f>IF(AND('Mapa final'!$AL$41="Muy Alta",'Mapa final'!$AN$41="Moderado"),CONCATENATE("R2C",'Mapa final'!$U$41),"")</f>
        <v/>
      </c>
      <c r="X16" s="39" t="str">
        <f>IF(AND('Mapa final'!$AL$42="Muy Alta",'Mapa final'!$AN$42="Moderado"),CONCATENATE("R2C",'Mapa final'!$U$42),"")</f>
        <v/>
      </c>
      <c r="Y16" s="39" t="str">
        <f>IF(AND('Mapa final'!$AL$43="Muy Alta",'Mapa final'!$AN$43="Moderado"),CONCATENATE("R2C",'Mapa final'!$U$43),"")</f>
        <v/>
      </c>
      <c r="Z16" s="39" t="str">
        <f>IF(AND('Mapa final'!$AL$44="Muy Alta",'Mapa final'!$AN$44="Moderado"),CONCATENATE("R2C",'Mapa final'!$U$44),"")</f>
        <v/>
      </c>
      <c r="AA16" s="39" t="str">
        <f>IF(AND('Mapa final'!$AL$45="Muy Alta",'Mapa final'!$AN$45="Moderado"),CONCATENATE("R2C",'Mapa final'!$U$45),"")</f>
        <v/>
      </c>
      <c r="AB16" s="40" t="str">
        <f>IF(AND('Mapa final'!$AL$46="Muy Alta",'Mapa final'!$AN$46="Moderado"),CONCATENATE("R2C",'Mapa final'!$U$46),"")</f>
        <v/>
      </c>
      <c r="AC16" s="38" t="str">
        <f>IF(AND('Mapa final'!$AL$41="Muy Alta",'Mapa final'!$AN$41="Mayor"),CONCATENATE("R2C",'Mapa final'!$U$41),"")</f>
        <v/>
      </c>
      <c r="AD16" s="39" t="str">
        <f>IF(AND('Mapa final'!$AL$42="Muy Alta",'Mapa final'!$AN$42="Mayor"),CONCATENATE("R2C",'Mapa final'!$U$42),"")</f>
        <v/>
      </c>
      <c r="AE16" s="39" t="str">
        <f>IF(AND('Mapa final'!$AL$43="Muy Alta",'Mapa final'!$AN$43="Mayor"),CONCATENATE("R2C",'Mapa final'!$U$43),"")</f>
        <v/>
      </c>
      <c r="AF16" s="39" t="str">
        <f>IF(AND('Mapa final'!$AL$44="Muy Alta",'Mapa final'!$AN$44="Mayor"),CONCATENATE("R2C",'Mapa final'!$U$44),"")</f>
        <v/>
      </c>
      <c r="AG16" s="39" t="str">
        <f>IF(AND('Mapa final'!$AL$45="Muy Alta",'Mapa final'!$AN$45="Mayor"),CONCATENATE("R2C",'Mapa final'!$U$45),"")</f>
        <v/>
      </c>
      <c r="AH16" s="40" t="str">
        <f>IF(AND('Mapa final'!$AL$46="Muy Alta",'Mapa final'!$AN$46="Mayor"),CONCATENATE("R2C",'Mapa final'!$U$46),"")</f>
        <v/>
      </c>
      <c r="AI16" s="41" t="str">
        <f>IF(AND('Mapa final'!$AL$41="Muy Alta",'Mapa final'!$AN$41="Catastrófico"),CONCATENATE("R2C",'Mapa final'!$U$41),"")</f>
        <v/>
      </c>
      <c r="AJ16" s="42" t="str">
        <f>IF(AND('Mapa final'!$AL$42="Muy Alta",'Mapa final'!$AN$42="Catastrófico"),CONCATENATE("R2C",'Mapa final'!$U$42),"")</f>
        <v/>
      </c>
      <c r="AK16" s="42" t="str">
        <f>IF(AND('Mapa final'!$AL$43="Muy Alta",'Mapa final'!$AN$43="Catastrófico"),CONCATENATE("R2C",'Mapa final'!$U$43),"")</f>
        <v/>
      </c>
      <c r="AL16" s="42" t="str">
        <f>IF(AND('Mapa final'!$AL$44="Muy Alta",'Mapa final'!$AN$44="Catastrófico"),CONCATENATE("R2C",'Mapa final'!$U$44),"")</f>
        <v/>
      </c>
      <c r="AM16" s="42" t="str">
        <f>IF(AND('Mapa final'!$AL$45="Muy Alta",'Mapa final'!$AN$45="Catastrófico"),CONCATENATE("R2C",'Mapa final'!$U$45),"")</f>
        <v/>
      </c>
      <c r="AN16" s="43" t="str">
        <f>IF(AND('Mapa final'!$AL$46="Muy Alta",'Mapa final'!$AN$46="Catastrófico"),CONCATENATE("R2C",'Mapa final'!$U$46),"")</f>
        <v/>
      </c>
      <c r="AO16" s="69"/>
      <c r="AP16" s="482"/>
      <c r="AQ16" s="483"/>
      <c r="AR16" s="483"/>
      <c r="AS16" s="483"/>
      <c r="AT16" s="483"/>
      <c r="AU16" s="484"/>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419"/>
      <c r="D17" s="419"/>
      <c r="E17" s="420"/>
      <c r="F17" s="462"/>
      <c r="G17" s="463"/>
      <c r="H17" s="463"/>
      <c r="I17" s="463"/>
      <c r="J17" s="463"/>
      <c r="K17" s="38" t="str">
        <f>IF(AND('Mapa final'!$AL$47="Muy Alta",'Mapa final'!$AN$47="Leve"),CONCATENATE("R2C",'Mapa final'!$U$47),"")</f>
        <v/>
      </c>
      <c r="L17" s="39" t="str">
        <f>IF(AND('Mapa final'!$AL$48="Muy Alta",'Mapa final'!$AN$48="Leve"),CONCATENATE("R2C",'Mapa final'!$U$48),"")</f>
        <v/>
      </c>
      <c r="M17" s="39" t="str">
        <f>IF(AND('Mapa final'!$AL$49="Muy Alta",'Mapa final'!$AN$49="Leve"),CONCATENATE("R2C",'Mapa final'!$U$49),"")</f>
        <v/>
      </c>
      <c r="N17" s="39" t="str">
        <f>IF(AND('Mapa final'!$AL$50="Muy Alta",'Mapa final'!$AN$50="Leve"),CONCATENATE("R2C",'Mapa final'!$U$50),"")</f>
        <v/>
      </c>
      <c r="O17" s="39" t="str">
        <f>IF(AND('Mapa final'!$AL$51="Muy Alta",'Mapa final'!$AN$51="Leve"),CONCATENATE("R2C",'Mapa final'!$U$51),"")</f>
        <v/>
      </c>
      <c r="P17" s="40" t="str">
        <f>IF(AND('Mapa final'!$AL$62="Muy Alta",'Mapa final'!$AN$52="Leve"),CONCATENATE("R2C",'Mapa final'!$U$52),"")</f>
        <v/>
      </c>
      <c r="Q17" s="39" t="str">
        <f>IF(AND('Mapa final'!$AL$47="Muy Alta",'Mapa final'!$AN$47="Menor"),CONCATENATE("R2C",'Mapa final'!$U$47),"")</f>
        <v/>
      </c>
      <c r="R17" s="39" t="str">
        <f>IF(AND('Mapa final'!$AL$48="Muy Alta",'Mapa final'!$AN$48="Menor"),CONCATENATE("R2C",'Mapa final'!$U$48),"")</f>
        <v/>
      </c>
      <c r="S17" s="39" t="str">
        <f>IF(AND('Mapa final'!$AL$49="Muy Alta",'Mapa final'!$AN$49="Menor"),CONCATENATE("R2C",'Mapa final'!$U$49),"")</f>
        <v/>
      </c>
      <c r="T17" s="39" t="str">
        <f>IF(AND('Mapa final'!$AL$50="Muy Alta",'Mapa final'!$AN$50="Menor"),CONCATENATE("R2C",'Mapa final'!$U$50),"")</f>
        <v/>
      </c>
      <c r="U17" s="39" t="str">
        <f>IF(AND('Mapa final'!$AL$51="Muy Alta",'Mapa final'!$AN$51="Menor"),CONCATENATE("R2C",'Mapa final'!$U$51),"")</f>
        <v/>
      </c>
      <c r="V17" s="40" t="str">
        <f>IF(AND('Mapa final'!$AL$62="Muy Alta",'Mapa final'!$AN$52="Menor"),CONCATENATE("R2C",'Mapa final'!$U$52),"")</f>
        <v/>
      </c>
      <c r="W17" s="38" t="str">
        <f>IF(AND('Mapa final'!$AL$47="Muy Alta",'Mapa final'!$AN$47="Moderado"),CONCATENATE("R2C",'Mapa final'!$U$47),"")</f>
        <v/>
      </c>
      <c r="X17" s="39" t="str">
        <f>IF(AND('Mapa final'!$AL$48="Muy Alta",'Mapa final'!$AN$48="Moderado"),CONCATENATE("R2C",'Mapa final'!$U$48),"")</f>
        <v/>
      </c>
      <c r="Y17" s="39" t="str">
        <f>IF(AND('Mapa final'!$AL$49="Muy Alta",'Mapa final'!$AN$49="Moderado"),CONCATENATE("R2C",'Mapa final'!$U$49),"")</f>
        <v/>
      </c>
      <c r="Z17" s="39" t="str">
        <f>IF(AND('Mapa final'!$AL$50="Muy Alta",'Mapa final'!$AN$50="Moderado"),CONCATENATE("R2C",'Mapa final'!$U$50),"")</f>
        <v/>
      </c>
      <c r="AA17" s="39" t="str">
        <f>IF(AND('Mapa final'!$AL$51="Muy Alta",'Mapa final'!$AN$51="Moderado"),CONCATENATE("R2C",'Mapa final'!$U$51),"")</f>
        <v/>
      </c>
      <c r="AB17" s="40" t="str">
        <f>IF(AND('Mapa final'!$AL$62="Muy Alta",'Mapa final'!$AN$52="Moderado"),CONCATENATE("R2C",'Mapa final'!$U$52),"")</f>
        <v/>
      </c>
      <c r="AC17" s="38" t="str">
        <f>IF(AND('Mapa final'!$AL$47="Muy Alta",'Mapa final'!$AN$47="Mayor"),CONCATENATE("R2C",'Mapa final'!$U$47),"")</f>
        <v/>
      </c>
      <c r="AD17" s="39" t="str">
        <f>IF(AND('Mapa final'!$AL$48="Muy Alta",'Mapa final'!$AN$48="Mayor"),CONCATENATE("R2C",'Mapa final'!$U$48),"")</f>
        <v/>
      </c>
      <c r="AE17" s="39" t="str">
        <f>IF(AND('Mapa final'!$AL$49="Muy Alta",'Mapa final'!$AN$49="Mayor"),CONCATENATE("R2C",'Mapa final'!$U$49),"")</f>
        <v/>
      </c>
      <c r="AF17" s="39" t="str">
        <f>IF(AND('Mapa final'!$AL$50="Muy Alta",'Mapa final'!$AN$50="Mayor"),CONCATENATE("R2C",'Mapa final'!$U$50),"")</f>
        <v/>
      </c>
      <c r="AG17" s="39" t="str">
        <f>IF(AND('Mapa final'!$AL$51="Muy Alta",'Mapa final'!$AN$51="Mayor"),CONCATENATE("R2C",'Mapa final'!$U$51),"")</f>
        <v/>
      </c>
      <c r="AH17" s="40" t="str">
        <f>IF(AND('Mapa final'!$AL$62="Muy Alta",'Mapa final'!$AN$52="Mayor"),CONCATENATE("R2C",'Mapa final'!$U$52),"")</f>
        <v/>
      </c>
      <c r="AI17" s="41" t="str">
        <f>IF(AND('Mapa final'!$AL$47="Muy Alta",'Mapa final'!$AN$47="Catastrófico"),CONCATENATE("R2C",'Mapa final'!$U$47),"")</f>
        <v/>
      </c>
      <c r="AJ17" s="42" t="str">
        <f>IF(AND('Mapa final'!$AL$48="Muy Alta",'Mapa final'!$AN$48="Catastrófico"),CONCATENATE("R2C",'Mapa final'!$U$48),"")</f>
        <v/>
      </c>
      <c r="AK17" s="42" t="str">
        <f>IF(AND('Mapa final'!$AL$49="Muy Alta",'Mapa final'!$AN$49="Catastrófico"),CONCATENATE("R2C",'Mapa final'!$U$49),"")</f>
        <v/>
      </c>
      <c r="AL17" s="42" t="str">
        <f>IF(AND('Mapa final'!$AL$50="Muy Alta",'Mapa final'!$AN$50="Catastrófico"),CONCATENATE("R2C",'Mapa final'!$U$50),"")</f>
        <v/>
      </c>
      <c r="AM17" s="42" t="str">
        <f>IF(AND('Mapa final'!$AL$51="Muy Alta",'Mapa final'!$AN$51="Catastrófico"),CONCATENATE("R2C",'Mapa final'!$U$51),"")</f>
        <v/>
      </c>
      <c r="AN17" s="43" t="str">
        <f>IF(AND('Mapa final'!$AL$62="Muy Alta",'Mapa final'!$AN$52="Catastrófico"),CONCATENATE("R2C",'Mapa final'!$U$52),"")</f>
        <v/>
      </c>
      <c r="AO17" s="69"/>
      <c r="AP17" s="482"/>
      <c r="AQ17" s="483"/>
      <c r="AR17" s="483"/>
      <c r="AS17" s="483"/>
      <c r="AT17" s="483"/>
      <c r="AU17" s="484"/>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419"/>
      <c r="D18" s="419"/>
      <c r="E18" s="420"/>
      <c r="F18" s="462"/>
      <c r="G18" s="463"/>
      <c r="H18" s="463"/>
      <c r="I18" s="463"/>
      <c r="J18" s="463"/>
      <c r="K18" s="38" t="str">
        <f>IF(AND('Mapa final'!$AL$53="Muy Alta",'Mapa final'!$AN$53="Leve"),CONCATENATE("R2C",'Mapa final'!$U$53),"")</f>
        <v/>
      </c>
      <c r="L18" s="39" t="str">
        <f>IF(AND('Mapa final'!$AL$54="Muy Alta",'Mapa final'!$AN$54="Leve"),CONCATENATE("R2C",'Mapa final'!$U$54),"")</f>
        <v/>
      </c>
      <c r="M18" s="39" t="str">
        <f>IF(AND('Mapa final'!$AL$55="Muy Alta",'Mapa final'!$AN$55="Leve"),CONCATENATE("R2C",'Mapa final'!$U$55),"")</f>
        <v/>
      </c>
      <c r="N18" s="39" t="str">
        <f>IF(AND('Mapa final'!$AL$56="Muy Alta",'Mapa final'!$AN$56="Leve"),CONCATENATE("R2C",'Mapa final'!$U$56),"")</f>
        <v/>
      </c>
      <c r="O18" s="39" t="str">
        <f>IF(AND('Mapa final'!$AL$57="Muy Alta",'Mapa final'!$AN$57="Leve"),CONCATENATE("R2C",'Mapa final'!$U$57),"")</f>
        <v/>
      </c>
      <c r="P18" s="40" t="str">
        <f>IF(AND('Mapa final'!$AL$58="Muy Alta",'Mapa final'!$AN$58="Leve"),CONCATENATE("R2C",'Mapa final'!$U$58),"")</f>
        <v/>
      </c>
      <c r="Q18" s="39" t="str">
        <f>IF(AND('Mapa final'!$AL$53="Muy Alta",'Mapa final'!$AN$53="Menor"),CONCATENATE("R2C",'Mapa final'!$U$53),"")</f>
        <v/>
      </c>
      <c r="R18" s="39" t="str">
        <f>IF(AND('Mapa final'!$AL$54="Muy Alta",'Mapa final'!$AN$54="Menor"),CONCATENATE("R2C",'Mapa final'!$U$54),"")</f>
        <v/>
      </c>
      <c r="S18" s="39" t="str">
        <f>IF(AND('Mapa final'!$AL$55="Muy Alta",'Mapa final'!$AN$55="Menor"),CONCATENATE("R2C",'Mapa final'!$U$55),"")</f>
        <v/>
      </c>
      <c r="T18" s="39" t="str">
        <f>IF(AND('Mapa final'!$AL$56="Muy Alta",'Mapa final'!$AN$56="Menor"),CONCATENATE("R2C",'Mapa final'!$U$56),"")</f>
        <v/>
      </c>
      <c r="U18" s="39" t="str">
        <f>IF(AND('Mapa final'!$AL$57="Muy Alta",'Mapa final'!$AN$57="Menor"),CONCATENATE("R2C",'Mapa final'!$U$57),"")</f>
        <v/>
      </c>
      <c r="V18" s="40" t="str">
        <f>IF(AND('Mapa final'!$AL$58="Muy Alta",'Mapa final'!$AN$58="Menor"),CONCATENATE("R2C",'Mapa final'!$U$58),"")</f>
        <v/>
      </c>
      <c r="W18" s="38" t="str">
        <f>IF(AND('Mapa final'!$AL$53="Muy Alta",'Mapa final'!$AN$53="Moderado"),CONCATENATE("R2C",'Mapa final'!$U$53),"")</f>
        <v/>
      </c>
      <c r="X18" s="39" t="str">
        <f>IF(AND('Mapa final'!$AL$54="Muy Alta",'Mapa final'!$AN$54="Moderado"),CONCATENATE("R2C",'Mapa final'!$U$54),"")</f>
        <v/>
      </c>
      <c r="Y18" s="39" t="str">
        <f>IF(AND('Mapa final'!$AL$55="Muy Alta",'Mapa final'!$AN$55="Moderado"),CONCATENATE("R2C",'Mapa final'!$U$55),"")</f>
        <v/>
      </c>
      <c r="Z18" s="39" t="str">
        <f>IF(AND('Mapa final'!$AL$56="Muy Alta",'Mapa final'!$AN$56="Moderado"),CONCATENATE("R2C",'Mapa final'!$U$56),"")</f>
        <v/>
      </c>
      <c r="AA18" s="39" t="str">
        <f>IF(AND('Mapa final'!$AL$57="Muy Alta",'Mapa final'!$AN$57="Moderado"),CONCATENATE("R2C",'Mapa final'!$U$57),"")</f>
        <v/>
      </c>
      <c r="AB18" s="40" t="str">
        <f>IF(AND('Mapa final'!$AL$58="Muy Alta",'Mapa final'!$AN$58="Moderado"),CONCATENATE("R2C",'Mapa final'!$U$58),"")</f>
        <v/>
      </c>
      <c r="AC18" s="38" t="str">
        <f>IF(AND('Mapa final'!$AL$53="Muy Alta",'Mapa final'!$AN$53="Mayor"),CONCATENATE("R2C",'Mapa final'!$U$53),"")</f>
        <v/>
      </c>
      <c r="AD18" s="39" t="str">
        <f>IF(AND('Mapa final'!$AL$54="Muy Alta",'Mapa final'!$AN$54="Mayor"),CONCATENATE("R2C",'Mapa final'!$U$54),"")</f>
        <v/>
      </c>
      <c r="AE18" s="39" t="str">
        <f>IF(AND('Mapa final'!$AL$55="Muy Alta",'Mapa final'!$AN$55="Mayor"),CONCATENATE("R2C",'Mapa final'!$U$55),"")</f>
        <v/>
      </c>
      <c r="AF18" s="39" t="str">
        <f>IF(AND('Mapa final'!$AL$56="Muy Alta",'Mapa final'!$AN$56="Mayor"),CONCATENATE("R2C",'Mapa final'!$U$56),"")</f>
        <v/>
      </c>
      <c r="AG18" s="39" t="str">
        <f>IF(AND('Mapa final'!$AL$57="Muy Alta",'Mapa final'!$AN$57="Mayor"),CONCATENATE("R2C",'Mapa final'!$U$57),"")</f>
        <v/>
      </c>
      <c r="AH18" s="40" t="str">
        <f>IF(AND('Mapa final'!$AL$58="Muy Alta",'Mapa final'!$AN$58="Mayor"),CONCATENATE("R2C",'Mapa final'!$U$58),"")</f>
        <v/>
      </c>
      <c r="AI18" s="41" t="str">
        <f>IF(AND('Mapa final'!$AL$53="Muy Alta",'Mapa final'!$AN$53="Catastrófico"),CONCATENATE("R2C",'Mapa final'!$U$53),"")</f>
        <v/>
      </c>
      <c r="AJ18" s="42" t="str">
        <f>IF(AND('Mapa final'!$AL$54="Muy Alta",'Mapa final'!$AN$54="Catastrófico"),CONCATENATE("R2C",'Mapa final'!$U$54),"")</f>
        <v/>
      </c>
      <c r="AK18" s="42" t="str">
        <f>IF(AND('Mapa final'!$AL$55="Muy Alta",'Mapa final'!$AN$55="Catastrófico"),CONCATENATE("R2C",'Mapa final'!$U$55),"")</f>
        <v/>
      </c>
      <c r="AL18" s="42" t="str">
        <f>IF(AND('Mapa final'!$AL$56="Muy Alta",'Mapa final'!$AN$56="Catastrófico"),CONCATENATE("R2C",'Mapa final'!$U$56),"")</f>
        <v/>
      </c>
      <c r="AM18" s="42" t="str">
        <f>IF(AND('Mapa final'!$AL$57="Muy Alta",'Mapa final'!$AN$57="Catastrófico"),CONCATENATE("R2C",'Mapa final'!$U$57),"")</f>
        <v/>
      </c>
      <c r="AN18" s="43" t="str">
        <f>IF(AND('Mapa final'!$AL$58="Muy Alta",'Mapa final'!$AN$58="Catastrófico"),CONCATENATE("R2C",'Mapa final'!$U$58),"")</f>
        <v/>
      </c>
      <c r="AO18" s="69"/>
      <c r="AP18" s="482"/>
      <c r="AQ18" s="483"/>
      <c r="AR18" s="483"/>
      <c r="AS18" s="483"/>
      <c r="AT18" s="483"/>
      <c r="AU18" s="484"/>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419"/>
      <c r="D19" s="419"/>
      <c r="E19" s="420"/>
      <c r="F19" s="462"/>
      <c r="G19" s="463"/>
      <c r="H19" s="463"/>
      <c r="I19" s="463"/>
      <c r="J19" s="463"/>
      <c r="K19" s="38" t="str">
        <f>IF(AND('Mapa final'!$AL$59="Muy Alta",'Mapa final'!$AN$59="Leve"),CONCATENATE("R2C",'Mapa final'!$U$59),"")</f>
        <v/>
      </c>
      <c r="L19" s="39" t="str">
        <f>IF(AND('Mapa final'!$AL$60="Muy Alta",'Mapa final'!$AN$60="Leve"),CONCATENATE("R2C",'Mapa final'!$U$60),"")</f>
        <v/>
      </c>
      <c r="M19" s="39" t="str">
        <f>IF(AND('Mapa final'!$AL$61="Muy Alta",'Mapa final'!$AN$61="Leve"),CONCATENATE("R2C",'Mapa final'!$U$61),"")</f>
        <v/>
      </c>
      <c r="N19" s="39" t="str">
        <f>IF(AND('Mapa final'!$AL$62="Muy Alta",'Mapa final'!$AN$62="Leve"),CONCATENATE("R2C",'Mapa final'!$U$62),"")</f>
        <v/>
      </c>
      <c r="O19" s="39" t="str">
        <f>IF(AND('Mapa final'!$AL$63="Muy Alta",'Mapa final'!$AN$63="Leve"),CONCATENATE("R2C",'Mapa final'!$U$63),"")</f>
        <v/>
      </c>
      <c r="P19" s="40" t="str">
        <f>IF(AND('Mapa final'!$AL$64="Muy Alta",'Mapa final'!$AN$64="Leve"),CONCATENATE("R2C",'Mapa final'!$U$64),"")</f>
        <v/>
      </c>
      <c r="Q19" s="39" t="str">
        <f>IF(AND('Mapa final'!$AL$59="Muy Alta",'Mapa final'!$AN$59="Menor"),CONCATENATE("R2C",'Mapa final'!$U$59),"")</f>
        <v/>
      </c>
      <c r="R19" s="39" t="str">
        <f>IF(AND('Mapa final'!$AL$60="Muy Alta",'Mapa final'!$AN$60="Menor"),CONCATENATE("R2C",'Mapa final'!$U$60),"")</f>
        <v/>
      </c>
      <c r="S19" s="39" t="str">
        <f>IF(AND('Mapa final'!$AL$61="Muy Alta",'Mapa final'!$AN$61="Menor"),CONCATENATE("R2C",'Mapa final'!$U$61),"")</f>
        <v/>
      </c>
      <c r="T19" s="39" t="str">
        <f>IF(AND('Mapa final'!$AL$62="Muy Alta",'Mapa final'!$AN$62="Menor"),CONCATENATE("R2C",'Mapa final'!$U$62),"")</f>
        <v/>
      </c>
      <c r="U19" s="39" t="str">
        <f>IF(AND('Mapa final'!$AL$63="Muy Alta",'Mapa final'!$AN$63="Menor"),CONCATENATE("R2C",'Mapa final'!$U$63),"")</f>
        <v/>
      </c>
      <c r="V19" s="40" t="str">
        <f>IF(AND('Mapa final'!$AL$64="Muy Alta",'Mapa final'!$AN$64="Menor"),CONCATENATE("R2C",'Mapa final'!$U$64),"")</f>
        <v/>
      </c>
      <c r="W19" s="38" t="str">
        <f>IF(AND('Mapa final'!$AL$59="Muy Alta",'Mapa final'!$AN$59="Moderado"),CONCATENATE("R2C",'Mapa final'!$U$59),"")</f>
        <v/>
      </c>
      <c r="X19" s="39" t="str">
        <f>IF(AND('Mapa final'!$AL$60="Muy Alta",'Mapa final'!$AN$60="Moderado"),CONCATENATE("R2C",'Mapa final'!$U$60),"")</f>
        <v/>
      </c>
      <c r="Y19" s="39" t="str">
        <f>IF(AND('Mapa final'!$AL$61="Muy Alta",'Mapa final'!$AN$61="Moderado"),CONCATENATE("R2C",'Mapa final'!$U$61),"")</f>
        <v/>
      </c>
      <c r="Z19" s="39" t="str">
        <f>IF(AND('Mapa final'!$AL$62="Muy Alta",'Mapa final'!$AN$62="Moderado"),CONCATENATE("R2C",'Mapa final'!$U$62),"")</f>
        <v/>
      </c>
      <c r="AA19" s="39" t="str">
        <f>IF(AND('Mapa final'!$AL$63="Muy Alta",'Mapa final'!$AN$63="Moderado"),CONCATENATE("R2C",'Mapa final'!$U$63),"")</f>
        <v/>
      </c>
      <c r="AB19" s="40" t="str">
        <f>IF(AND('Mapa final'!$AL$64="Muy Alta",'Mapa final'!$AN$64="Moderado"),CONCATENATE("R2C",'Mapa final'!$U$64),"")</f>
        <v/>
      </c>
      <c r="AC19" s="38" t="str">
        <f>IF(AND('Mapa final'!$AL$59="Muy Alta",'Mapa final'!$AN$59="Mayor"),CONCATENATE("R2C",'Mapa final'!$U$59),"")</f>
        <v/>
      </c>
      <c r="AD19" s="39" t="str">
        <f>IF(AND('Mapa final'!$AL$60="Muy Alta",'Mapa final'!$AN$60="Mayor"),CONCATENATE("R2C",'Mapa final'!$U$60),"")</f>
        <v/>
      </c>
      <c r="AE19" s="39" t="str">
        <f>IF(AND('Mapa final'!$AL$61="Muy Alta",'Mapa final'!$AN$61="Mayor"),CONCATENATE("R2C",'Mapa final'!$U$61),"")</f>
        <v/>
      </c>
      <c r="AF19" s="39" t="str">
        <f>IF(AND('Mapa final'!$AL$62="Muy Alta",'Mapa final'!$AN$62="Mayor"),CONCATENATE("R2C",'Mapa final'!$U$62),"")</f>
        <v/>
      </c>
      <c r="AG19" s="39" t="str">
        <f>IF(AND('Mapa final'!$AL$63="Muy Alta",'Mapa final'!$AN$63="Mayor"),CONCATENATE("R2C",'Mapa final'!$U$63),"")</f>
        <v/>
      </c>
      <c r="AH19" s="40" t="str">
        <f>IF(AND('Mapa final'!$AL$64="Muy Alta",'Mapa final'!$AN$64="Mayor"),CONCATENATE("R2C",'Mapa final'!$U$64),"")</f>
        <v/>
      </c>
      <c r="AI19" s="41" t="str">
        <f>IF(AND('Mapa final'!$AL$59="Muy Alta",'Mapa final'!$AN$59="Catastrófico"),CONCATENATE("R2C",'Mapa final'!$U$59),"")</f>
        <v/>
      </c>
      <c r="AJ19" s="42" t="str">
        <f>IF(AND('Mapa final'!$AL$60="Muy Alta",'Mapa final'!$AN$60="Catastrófico"),CONCATENATE("R2C",'Mapa final'!$U$60),"")</f>
        <v/>
      </c>
      <c r="AK19" s="42" t="str">
        <f>IF(AND('Mapa final'!$AL$61="Muy Alta",'Mapa final'!$AN$61="Catastrófico"),CONCATENATE("R2C",'Mapa final'!$U$61),"")</f>
        <v/>
      </c>
      <c r="AL19" s="42" t="str">
        <f>IF(AND('Mapa final'!$AL$62="Muy Alta",'Mapa final'!$AN$62="Catastrófico"),CONCATENATE("R2C",'Mapa final'!$U$62),"")</f>
        <v/>
      </c>
      <c r="AM19" s="42" t="str">
        <f>IF(AND('Mapa final'!$AL$63="Muy Alta",'Mapa final'!$AN$63="Catastrófico"),CONCATENATE("R2C",'Mapa final'!$U$63),"")</f>
        <v/>
      </c>
      <c r="AN19" s="43" t="str">
        <f>IF(AND('Mapa final'!$AL$64="Muy Alta",'Mapa final'!$AN$64="Catastrófico"),CONCATENATE("R2C",'Mapa final'!$U$64),"")</f>
        <v/>
      </c>
      <c r="AO19" s="69"/>
      <c r="AP19" s="482"/>
      <c r="AQ19" s="483"/>
      <c r="AR19" s="483"/>
      <c r="AS19" s="483"/>
      <c r="AT19" s="483"/>
      <c r="AU19" s="484"/>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419"/>
      <c r="D20" s="419"/>
      <c r="E20" s="420"/>
      <c r="F20" s="462"/>
      <c r="G20" s="463"/>
      <c r="H20" s="463"/>
      <c r="I20" s="463"/>
      <c r="J20" s="463"/>
      <c r="K20" s="38" t="str">
        <f>IF(AND('Mapa final'!$AL$65="Muy Alta",'Mapa final'!$AN$65="Leve"),CONCATENATE("R2C",'Mapa final'!$U$65),"")</f>
        <v/>
      </c>
      <c r="L20" s="39" t="str">
        <f>IF(AND('Mapa final'!$AL$66="Muy Alta",'Mapa final'!$AN$66="Leve"),CONCATENATE("R2C",'Mapa final'!$U$66),"")</f>
        <v/>
      </c>
      <c r="M20" s="39" t="str">
        <f>IF(AND('Mapa final'!$AL$67="Muy Alta",'Mapa final'!$AN$67="Leve"),CONCATENATE("R2C",'Mapa final'!$U$67),"")</f>
        <v/>
      </c>
      <c r="N20" s="39" t="str">
        <f>IF(AND('Mapa final'!$AL$68="Muy Alta",'Mapa final'!$AN$68="Leve"),CONCATENATE("R2C",'Mapa final'!$U$68),"")</f>
        <v/>
      </c>
      <c r="O20" s="39" t="str">
        <f>IF(AND('Mapa final'!$AL$69="Muy Alta",'Mapa final'!$AN$69="Leve"),CONCATENATE("R2C",'Mapa final'!$U$69),"")</f>
        <v/>
      </c>
      <c r="P20" s="40" t="str">
        <f>IF(AND('Mapa final'!$AL$70="Muy Alta",'Mapa final'!$AN$70="Leve"),CONCATENATE("R2C",'Mapa final'!$U$70),"")</f>
        <v/>
      </c>
      <c r="Q20" s="39" t="str">
        <f>IF(AND('Mapa final'!$AL$65="Muy Alta",'Mapa final'!$AN$65="Menor"),CONCATENATE("R2C",'Mapa final'!$U$65),"")</f>
        <v/>
      </c>
      <c r="R20" s="39" t="str">
        <f>IF(AND('Mapa final'!$AL$66="Muy Alta",'Mapa final'!$AN$66="Menor"),CONCATENATE("R2C",'Mapa final'!$U$66),"")</f>
        <v/>
      </c>
      <c r="S20" s="39" t="str">
        <f>IF(AND('Mapa final'!$AL$67="Muy Alta",'Mapa final'!$AN$67="Menor"),CONCATENATE("R2C",'Mapa final'!$U$67),"")</f>
        <v/>
      </c>
      <c r="T20" s="39" t="str">
        <f>IF(AND('Mapa final'!$AL$68="Muy Alta",'Mapa final'!$AN$68="Menor"),CONCATENATE("R2C",'Mapa final'!$U$68),"")</f>
        <v/>
      </c>
      <c r="U20" s="39" t="str">
        <f>IF(AND('Mapa final'!$AL$69="Muy Alta",'Mapa final'!$AN$69="Menor"),CONCATENATE("R2C",'Mapa final'!$U$69),"")</f>
        <v/>
      </c>
      <c r="V20" s="40" t="str">
        <f>IF(AND('Mapa final'!$AL$70="Muy Alta",'Mapa final'!$AN$70="Menor"),CONCATENATE("R2C",'Mapa final'!$U$70),"")</f>
        <v/>
      </c>
      <c r="W20" s="38" t="str">
        <f>IF(AND('Mapa final'!$AL$65="Muy Alta",'Mapa final'!$AN$65="Moderado"),CONCATENATE("R2C",'Mapa final'!$U$65),"")</f>
        <v/>
      </c>
      <c r="X20" s="39" t="str">
        <f>IF(AND('Mapa final'!$AL$66="Muy Alta",'Mapa final'!$AN$66="Moderado"),CONCATENATE("R2C",'Mapa final'!$U$66),"")</f>
        <v/>
      </c>
      <c r="Y20" s="39" t="str">
        <f>IF(AND('Mapa final'!$AL$67="Muy Alta",'Mapa final'!$AN$67="Moderado"),CONCATENATE("R2C",'Mapa final'!$U$67),"")</f>
        <v/>
      </c>
      <c r="Z20" s="39" t="str">
        <f>IF(AND('Mapa final'!$AL$68="Muy Alta",'Mapa final'!$AN$68="Moderado"),CONCATENATE("R2C",'Mapa final'!$U$68),"")</f>
        <v/>
      </c>
      <c r="AA20" s="39" t="str">
        <f>IF(AND('Mapa final'!$AL$69="Muy Alta",'Mapa final'!$AN$69="Moderado"),CONCATENATE("R2C",'Mapa final'!$U$69),"")</f>
        <v/>
      </c>
      <c r="AB20" s="40" t="str">
        <f>IF(AND('Mapa final'!$AL$70="Muy Alta",'Mapa final'!$AN$70="Moderado"),CONCATENATE("R2C",'Mapa final'!$U$70),"")</f>
        <v/>
      </c>
      <c r="AC20" s="38" t="str">
        <f>IF(AND('Mapa final'!$AL$65="Muy Alta",'Mapa final'!$AN$65="Mayor"),CONCATENATE("R2C",'Mapa final'!$U$65),"")</f>
        <v/>
      </c>
      <c r="AD20" s="39" t="str">
        <f>IF(AND('Mapa final'!$AL$66="Muy Alta",'Mapa final'!$AN$66="Mayor"),CONCATENATE("R2C",'Mapa final'!$U$66),"")</f>
        <v/>
      </c>
      <c r="AE20" s="39" t="str">
        <f>IF(AND('Mapa final'!$AL$67="Muy Alta",'Mapa final'!$AN$67="Mayor"),CONCATENATE("R2C",'Mapa final'!$U$67),"")</f>
        <v/>
      </c>
      <c r="AF20" s="39" t="str">
        <f>IF(AND('Mapa final'!$AL$68="Muy Alta",'Mapa final'!$AN$68="Mayor"),CONCATENATE("R2C",'Mapa final'!$U$68),"")</f>
        <v/>
      </c>
      <c r="AG20" s="39" t="str">
        <f>IF(AND('Mapa final'!$AL$69="Muy Alta",'Mapa final'!$AN$69="Mayor"),CONCATENATE("R2C",'Mapa final'!$U$69),"")</f>
        <v/>
      </c>
      <c r="AH20" s="40" t="str">
        <f>IF(AND('Mapa final'!$AL$70="Muy Alta",'Mapa final'!$AN$70="Mayor"),CONCATENATE("R2C",'Mapa final'!$U$70),"")</f>
        <v/>
      </c>
      <c r="AI20" s="41" t="str">
        <f>IF(AND('Mapa final'!$AL$65="Muy Alta",'Mapa final'!$AN$65="Catastrófico"),CONCATENATE("R2C",'Mapa final'!$U$65),"")</f>
        <v/>
      </c>
      <c r="AJ20" s="42" t="str">
        <f>IF(AND('Mapa final'!$AL$66="Muy Alta",'Mapa final'!$AN$66="Catastrófico"),CONCATENATE("R2C",'Mapa final'!$U$66),"")</f>
        <v/>
      </c>
      <c r="AK20" s="42" t="str">
        <f>IF(AND('Mapa final'!$AL$67="Muy Alta",'Mapa final'!$AN$67="Catastrófico"),CONCATENATE("R2C",'Mapa final'!$U$67),"")</f>
        <v/>
      </c>
      <c r="AL20" s="42" t="str">
        <f>IF(AND('Mapa final'!$AL$68="Muy Alta",'Mapa final'!$AN$68="Catastrófico"),CONCATENATE("R2C",'Mapa final'!$U$68),"")</f>
        <v/>
      </c>
      <c r="AM20" s="42" t="str">
        <f>IF(AND('Mapa final'!$AL$69="Muy Alta",'Mapa final'!$AN$69="Catastrófico"),CONCATENATE("R2C",'Mapa final'!$U$69),"")</f>
        <v/>
      </c>
      <c r="AN20" s="43" t="str">
        <f>IF(AND('Mapa final'!$AL$70="Muy Alta",'Mapa final'!$AN$70="Catastrófico"),CONCATENATE("R2C",'Mapa final'!$U$70),"")</f>
        <v/>
      </c>
      <c r="AO20" s="69"/>
      <c r="AP20" s="482"/>
      <c r="AQ20" s="483"/>
      <c r="AR20" s="483"/>
      <c r="AS20" s="483"/>
      <c r="AT20" s="483"/>
      <c r="AU20" s="484"/>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419"/>
      <c r="D21" s="419"/>
      <c r="E21" s="420"/>
      <c r="F21" s="465"/>
      <c r="G21" s="466"/>
      <c r="H21" s="466"/>
      <c r="I21" s="466"/>
      <c r="J21" s="466"/>
      <c r="K21" s="44" t="str">
        <f>IF(AND('Mapa final'!$AL$71="Muy Alta",'Mapa final'!$AN$71="Leve"),CONCATENATE("R2C",'Mapa final'!$U$71),"")</f>
        <v/>
      </c>
      <c r="L21" s="45" t="str">
        <f>IF(AND('Mapa final'!$AL$72="Muy Alta",'Mapa final'!$AN$72="Leve"),CONCATENATE("R2C",'Mapa final'!$U$72),"")</f>
        <v/>
      </c>
      <c r="M21" s="45" t="str">
        <f>IF(AND('Mapa final'!$AL$73="Muy Alta",'Mapa final'!$AN$73="Leve"),CONCATENATE("R2C",'Mapa final'!$U$73),"")</f>
        <v/>
      </c>
      <c r="N21" s="45" t="str">
        <f>IF(AND('Mapa final'!$AL$74="Muy Alta",'Mapa final'!$AN$74="Leve"),CONCATENATE("R2C",'Mapa final'!$U$74),"")</f>
        <v/>
      </c>
      <c r="O21" s="45" t="str">
        <f>IF(AND('Mapa final'!$AL$76="Muy Alta",'Mapa final'!$AN$76="Leve"),CONCATENATE("R2C",'Mapa final'!$U$76),"")</f>
        <v/>
      </c>
      <c r="P21" s="46" t="str">
        <f>IF(AND('Mapa final'!$AL$77="Muy Alta",'Mapa final'!$AN$77="Leve"),CONCATENATE("R2C",'Mapa final'!$U$77),"")</f>
        <v/>
      </c>
      <c r="Q21" s="39" t="str">
        <f>IF(AND('Mapa final'!$AL$71="Muy Alta",'Mapa final'!$AN$71="Menor"),CONCATENATE("R2C",'Mapa final'!$U$71),"")</f>
        <v/>
      </c>
      <c r="R21" s="39" t="str">
        <f>IF(AND('Mapa final'!$AL$72="Muy Alta",'Mapa final'!$AN$72="Menor"),CONCATENATE("R2C",'Mapa final'!$U$72),"")</f>
        <v/>
      </c>
      <c r="S21" s="39" t="str">
        <f>IF(AND('Mapa final'!$AL$73="Muy Alta",'Mapa final'!$AN$73="Menor"),CONCATENATE("R2C",'Mapa final'!$U$73),"")</f>
        <v/>
      </c>
      <c r="T21" s="39" t="str">
        <f>IF(AND('Mapa final'!$AL$74="Muy Alta",'Mapa final'!$AN$74="Menor"),CONCATENATE("R2C",'Mapa final'!$U$74),"")</f>
        <v/>
      </c>
      <c r="U21" s="39" t="str">
        <f>IF(AND('Mapa final'!$AL$76="Muy Alta",'Mapa final'!$AN$76="Menor"),CONCATENATE("R2C",'Mapa final'!$U$76),"")</f>
        <v/>
      </c>
      <c r="V21" s="40" t="str">
        <f>IF(AND('Mapa final'!$AL$77="Muy Alta",'Mapa final'!$AN$77="Menor"),CONCATENATE("R2C",'Mapa final'!$U$77),"")</f>
        <v/>
      </c>
      <c r="W21" s="44" t="str">
        <f>IF(AND('Mapa final'!$AL$71="Muy Alta",'Mapa final'!$AN$71="Moderado"),CONCATENATE("R2C",'Mapa final'!$U$71),"")</f>
        <v/>
      </c>
      <c r="X21" s="45" t="str">
        <f>IF(AND('Mapa final'!$AL$72="Muy Alta",'Mapa final'!$AN$72="Moderado"),CONCATENATE("R2C",'Mapa final'!$U$72),"")</f>
        <v/>
      </c>
      <c r="Y21" s="45" t="str">
        <f>IF(AND('Mapa final'!$AL$73="Muy Alta",'Mapa final'!$AN$73="Moderado"),CONCATENATE("R2C",'Mapa final'!$U$73),"")</f>
        <v/>
      </c>
      <c r="Z21" s="45" t="str">
        <f>IF(AND('Mapa final'!$AL$74="Muy Alta",'Mapa final'!$AN$74="Moderado"),CONCATENATE("R2C",'Mapa final'!$U$74),"")</f>
        <v/>
      </c>
      <c r="AA21" s="45" t="str">
        <f>IF(AND('Mapa final'!$AL$76="Muy Alta",'Mapa final'!$AN$76="Moderado"),CONCATENATE("R2C",'Mapa final'!$U$76),"")</f>
        <v/>
      </c>
      <c r="AB21" s="46" t="str">
        <f>IF(AND('Mapa final'!$AL$77="Muy Alta",'Mapa final'!$AN$77="Moderado"),CONCATENATE("R2C",'Mapa final'!$U$77),"")</f>
        <v/>
      </c>
      <c r="AC21" s="38" t="str">
        <f>IF(AND('Mapa final'!$AL$71="Muy Alta",'Mapa final'!$AN$71="Mayor"),CONCATENATE("R2C",'Mapa final'!$U$71),"")</f>
        <v/>
      </c>
      <c r="AD21" s="39" t="str">
        <f>IF(AND('Mapa final'!$AL$72="Muy Alta",'Mapa final'!$AN$72="Mayor"),CONCATENATE("R2C",'Mapa final'!$U$72),"")</f>
        <v/>
      </c>
      <c r="AE21" s="39" t="str">
        <f>IF(AND('Mapa final'!$AL$73="Muy Alta",'Mapa final'!$AN$73="Mayor"),CONCATENATE("R2C",'Mapa final'!$U$73),"")</f>
        <v/>
      </c>
      <c r="AF21" s="39" t="str">
        <f>IF(AND('Mapa final'!$AL$74="Muy Alta",'Mapa final'!$AN$74="Mayor"),CONCATENATE("R2C",'Mapa final'!$U$74),"")</f>
        <v/>
      </c>
      <c r="AG21" s="39" t="str">
        <f>IF(AND('Mapa final'!$AL$76="Muy Alta",'Mapa final'!$AN$76="Mayor"),CONCATENATE("R2C",'Mapa final'!$U$76),"")</f>
        <v/>
      </c>
      <c r="AH21" s="40" t="str">
        <f>IF(AND('Mapa final'!$AL$77="Muy Alta",'Mapa final'!$AN$77="Mayor"),CONCATENATE("R2C",'Mapa final'!$U$77),"")</f>
        <v/>
      </c>
      <c r="AI21" s="47" t="str">
        <f>IF(AND('Mapa final'!$AL$71="Muy Alta",'Mapa final'!$AN$71="Catastrófico"),CONCATENATE("R2C",'Mapa final'!$U$71),"")</f>
        <v/>
      </c>
      <c r="AJ21" s="48" t="str">
        <f>IF(AND('Mapa final'!$AL$72="Muy Alta",'Mapa final'!$AN$72="Catastrófico"),CONCATENATE("R2C",'Mapa final'!$U$72),"")</f>
        <v/>
      </c>
      <c r="AK21" s="48" t="str">
        <f>IF(AND('Mapa final'!$AL$73="Muy Alta",'Mapa final'!$AN$73="Catastrófico"),CONCATENATE("R2C",'Mapa final'!$U$73),"")</f>
        <v/>
      </c>
      <c r="AL21" s="48" t="str">
        <f>IF(AND('Mapa final'!$AL$74="Muy Alta",'Mapa final'!$AN$74="Catastrófico"),CONCATENATE("R2C",'Mapa final'!$U$74),"")</f>
        <v/>
      </c>
      <c r="AM21" s="48" t="str">
        <f>IF(AND('Mapa final'!$AL$76="Muy Alta",'Mapa final'!$AN$76="Catastrófico"),CONCATENATE("R2C",'Mapa final'!$U$76),"")</f>
        <v/>
      </c>
      <c r="AN21" s="49" t="str">
        <f>IF(AND('Mapa final'!$AL$77="Muy Alta",'Mapa final'!$AN$77="Catastrófico"),CONCATENATE("R2C",'Mapa final'!$U$77),"")</f>
        <v/>
      </c>
      <c r="AO21" s="69"/>
      <c r="AP21" s="485"/>
      <c r="AQ21" s="486"/>
      <c r="AR21" s="486"/>
      <c r="AS21" s="486"/>
      <c r="AT21" s="486"/>
      <c r="AU21" s="487"/>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419"/>
      <c r="D22" s="419"/>
      <c r="E22" s="420"/>
      <c r="F22" s="459" t="s">
        <v>114</v>
      </c>
      <c r="G22" s="460"/>
      <c r="H22" s="460"/>
      <c r="I22" s="460"/>
      <c r="J22" s="460"/>
      <c r="K22" s="53" t="str">
        <f>IF(AND('Mapa final'!$AL$15="Alta",'Mapa final'!$AN$15="Leve"),CONCATENATE("R2C",'Mapa final'!$U$15),"")</f>
        <v/>
      </c>
      <c r="L22" s="54" t="str">
        <f>IF(AND('Mapa final'!$AL$16="Alta",'Mapa final'!$AN$16="Leve"),CONCATENATE("R2C",'Mapa final'!$U$16),"")</f>
        <v/>
      </c>
      <c r="M22" s="54" t="str">
        <f>IF(AND('Mapa final'!$AL$17="Alta",'Mapa final'!$AN$17="Leve"),CONCATENATE("R2C",'Mapa final'!$U$17),"")</f>
        <v/>
      </c>
      <c r="N22" s="54" t="str">
        <f>IF(AND('Mapa final'!$AL$18="Alta",'Mapa final'!$AN$18="Leve"),CONCATENATE("R2C",'Mapa final'!$U$18),"")</f>
        <v/>
      </c>
      <c r="O22" s="54" t="str">
        <f>IF(AND('Mapa final'!$AL$19="Alta",'Mapa final'!$AN$19="Leve"),CONCATENATE("R2C",'Mapa final'!$U$19),"")</f>
        <v/>
      </c>
      <c r="P22" s="55" t="str">
        <f>IF(AND('Mapa final'!$AL$20="Alta",'Mapa final'!$AN$20="Leve"),CONCATENATE("R2C",'Mapa final'!$U$20),"")</f>
        <v/>
      </c>
      <c r="Q22" s="50" t="str">
        <f>IF(AND('Mapa final'!$AL$15="Alta",'Mapa final'!$AN$15="Menor"),CONCATENATE("R2C",'Mapa final'!$U$15),"")</f>
        <v/>
      </c>
      <c r="R22" s="51" t="str">
        <f>IF(AND('Mapa final'!$AL$16="Alta",'Mapa final'!$AN$16="Menore"),CONCATENATE("R2C",'Mapa final'!$U$16),"")</f>
        <v/>
      </c>
      <c r="S22" s="51" t="str">
        <f>IF(AND('Mapa final'!$AL$17="Alta",'Mapa final'!$AN$17="Menor"),CONCATENATE("R2C",'Mapa final'!$U$17),"")</f>
        <v/>
      </c>
      <c r="T22" s="51" t="str">
        <f>IF(AND('Mapa final'!$AL$18="Alta",'Mapa final'!$AN$18="Menor"),CONCATENATE("R2C",'Mapa final'!$U$18),"")</f>
        <v/>
      </c>
      <c r="U22" s="51" t="str">
        <f>IF(AND('Mapa final'!$AL$19="Alta",'Mapa final'!$AN$19="Menor"),CONCATENATE("R2C",'Mapa final'!$U$19),"")</f>
        <v/>
      </c>
      <c r="V22" s="52" t="str">
        <f>IF(AND('Mapa final'!$AL$20="Alta",'Mapa final'!$AN$20="Menor"),CONCATENATE("R2C",'Mapa final'!$U$20),"")</f>
        <v/>
      </c>
      <c r="W22" s="32" t="str">
        <f>IF(AND('Mapa final'!$AL$15="Alta",'Mapa final'!$AN$15="Moderado"),CONCATENATE("R2C",'Mapa final'!$U$15),"")</f>
        <v/>
      </c>
      <c r="X22" s="33" t="str">
        <f>IF(AND('Mapa final'!$AL$16="Alta",'Mapa final'!$AN$16="Moderado"),CONCATENATE("R2C",'Mapa final'!$U$16),"")</f>
        <v/>
      </c>
      <c r="Y22" s="33"/>
      <c r="Z22" s="33" t="str">
        <f>IF(AND('Mapa final'!$AL$18="Alta",'Mapa final'!$AN$18="Moderado"),CONCATENATE("R2C",'Mapa final'!$U$18),"")</f>
        <v/>
      </c>
      <c r="AA22" s="33" t="str">
        <f>IF(AND('Mapa final'!$AL$19="Alta",'Mapa final'!$AN$19="Moderado"),CONCATENATE("R2C",'Mapa final'!$U$19),"")</f>
        <v/>
      </c>
      <c r="AB22" s="34" t="str">
        <f>IF(AND('Mapa final'!$AL$20="Alta",'Mapa final'!$AN$20="Moderado"),CONCATENATE("R2C",'Mapa final'!$U$20),"")</f>
        <v/>
      </c>
      <c r="AC22" s="32" t="str">
        <f>IF(AND('Mapa final'!$AL$15="Alta",'Mapa final'!$AN$15="Mayor"),CONCATENATE("R2C",'Mapa final'!$U$15),"")</f>
        <v/>
      </c>
      <c r="AD22" s="33" t="str">
        <f>IF(AND('Mapa final'!$AL$16="Alta",'Mapa final'!$AN$16="Mayor"),CONCATENATE("R2C",'Mapa final'!$U$16),"")</f>
        <v/>
      </c>
      <c r="AE22" s="33" t="str">
        <f>IF(AND('Mapa final'!$AL$17="Alta",'Mapa final'!$AN$17="Mayor"),CONCATENATE("R2C",'Mapa final'!$D$17),"")</f>
        <v/>
      </c>
      <c r="AF22" s="33" t="str">
        <f>IF(AND('Mapa final'!$AL$18="Alta",'Mapa final'!$AN$18="Mayor"),CONCATENATE("R2C",'Mapa final'!$U$18),"")</f>
        <v/>
      </c>
      <c r="AG22" s="33" t="str">
        <f>IF(AND('Mapa final'!$AL$19="Alta",'Mapa final'!$AN$19="Mayor"),CONCATENATE("R2C",'Mapa final'!$U$19),"")</f>
        <v/>
      </c>
      <c r="AH22" s="34" t="str">
        <f>IF(AND('Mapa final'!$AL$20="Alta",'Mapa final'!$AN$20="Mayor"),CONCATENATE("R2C",'Mapa final'!$U$20),"")</f>
        <v/>
      </c>
      <c r="AI22" s="35" t="str">
        <f>IF(AND('Mapa final'!$AL$15="Alta",'Mapa final'!$AN$15="Catastrófico"),CONCATENATE("R2C",'Mapa final'!$U$15),"")</f>
        <v/>
      </c>
      <c r="AJ22" s="36" t="str">
        <f>IF(AND('Mapa final'!$AL$16="Alta",'Mapa final'!$AN$16="Catastrófico"),CONCATENATE("R2C",'Mapa final'!$U$16),"")</f>
        <v/>
      </c>
      <c r="AK22" s="36" t="str">
        <f>IF(AND('Mapa final'!$AL$17="Alta",'Mapa final'!$AN$17="Catastrófico"),CONCATENATE("R2C",'Mapa final'!$U$17),"")</f>
        <v/>
      </c>
      <c r="AL22" s="36" t="str">
        <f>IF(AND('Mapa final'!$AL$18="Alta",'Mapa final'!$AN$18="Catastrófico"),CONCATENATE("R2C",'Mapa final'!$U$18),"")</f>
        <v/>
      </c>
      <c r="AM22" s="36" t="str">
        <f>IF(AND('Mapa final'!$AL$19="Alta",'Mapa final'!$AN$19="Catastrófico"),CONCATENATE("R2C",'Mapa final'!$U$19),"")</f>
        <v/>
      </c>
      <c r="AN22" s="37" t="str">
        <f>IF(AND('Mapa final'!$AL$20="Alta",'Mapa final'!$AN$20="Catastrófico"),CONCATENATE("R2C",'Mapa final'!$U$20),"")</f>
        <v/>
      </c>
      <c r="AO22" s="69"/>
      <c r="AP22" s="469" t="s">
        <v>79</v>
      </c>
      <c r="AQ22" s="470"/>
      <c r="AR22" s="470"/>
      <c r="AS22" s="470"/>
      <c r="AT22" s="470"/>
      <c r="AU22" s="471"/>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419"/>
      <c r="D23" s="419"/>
      <c r="E23" s="420"/>
      <c r="F23" s="478"/>
      <c r="G23" s="463"/>
      <c r="H23" s="463"/>
      <c r="I23" s="463"/>
      <c r="J23" s="463"/>
      <c r="K23" s="53" t="str">
        <f>IF(AND('Mapa final'!$AL$23="Alta",'Mapa final'!$AN$23="Leve"),CONCATENATE("R2C",'Mapa final'!$U$23),"")</f>
        <v/>
      </c>
      <c r="L23" s="54" t="str">
        <f>IF(AND('Mapa final'!$AL$24="Alta",'Mapa final'!$AN$24="Leve"),CONCATENATE("R2C",'Mapa final'!$U$24),"")</f>
        <v/>
      </c>
      <c r="M23" s="54" t="str">
        <f>IF(AND('Mapa final'!$AL$25="Alta",'Mapa final'!$AN$25="Leve"),CONCATENATE("R2C",'Mapa final'!$U$25),"")</f>
        <v/>
      </c>
      <c r="N23" s="54" t="str">
        <f>IF(AND('Mapa final'!$AL$26="Alta",'Mapa final'!$AN$26="Leve"),CONCATENATE("R2C",'Mapa final'!$U$26),"")</f>
        <v/>
      </c>
      <c r="O23" s="54" t="str">
        <f>IF(AND('Mapa final'!$AL$27="Alta",'Mapa final'!$AN$27="Leve"),CONCATENATE("R2C",'Mapa final'!$U$27),"")</f>
        <v/>
      </c>
      <c r="P23" s="55" t="str">
        <f>IF(AND('Mapa final'!$AL$28="Alta",'Mapa final'!$AN$28="Leve"),CONCATENATE("R2C",'Mapa final'!$U$28),"")</f>
        <v/>
      </c>
      <c r="Q23" s="53" t="str">
        <f>IF(AND('Mapa final'!$AL$23="Alta",'Mapa final'!$AN$23="Menor"),CONCATENATE("R2C",'Mapa final'!$U$23),"")</f>
        <v/>
      </c>
      <c r="R23" s="54" t="str">
        <f>IF(AND('Mapa final'!$AL$24="Alta",'Mapa final'!$AN$24="Menor"),CONCATENATE("R2C",'Mapa final'!$U$24),"")</f>
        <v/>
      </c>
      <c r="S23" s="54" t="str">
        <f>IF(AND('Mapa final'!$AL$25="Alta",'Mapa final'!$AN$25="Menor"),CONCATENATE("R2C",'Mapa final'!$U$25),"")</f>
        <v/>
      </c>
      <c r="T23" s="54" t="str">
        <f>IF(AND('Mapa final'!$AL$26="Alta",'Mapa final'!$AN$26="Menor"),CONCATENATE("R2C",'Mapa final'!$U$26),"")</f>
        <v/>
      </c>
      <c r="U23" s="54" t="str">
        <f>IF(AND('Mapa final'!$AL$27="Alta",'Mapa final'!$AN$27="Menor"),CONCATENATE("R2C",'Mapa final'!$U$27),"")</f>
        <v/>
      </c>
      <c r="V23" s="55" t="str">
        <f>IF(AND('Mapa final'!$AL$28="Alta",'Mapa final'!$AN$28="Menor"),CONCATENATE("R2C",'Mapa final'!$U$28),"")</f>
        <v/>
      </c>
      <c r="W23" s="38" t="str">
        <f>IF(AND('Mapa final'!$AL$23="Alta",'Mapa final'!$AN$23="Moderado"),CONCATENATE("R2C",'Mapa final'!$U$23),"")</f>
        <v/>
      </c>
      <c r="X23" s="39" t="str">
        <f>IF(AND('Mapa final'!$AL$24="Alta",'Mapa final'!$AN$24="Moderado"),CONCATENATE("R2C",'Mapa final'!$U$24),"")</f>
        <v/>
      </c>
      <c r="Y23" s="39" t="str">
        <f>IF(AND('Mapa final'!$AL$25="Alta",'Mapa final'!$AN$25="Moderado"),CONCATENATE("R2C",'Mapa final'!$U$25),"")</f>
        <v/>
      </c>
      <c r="Z23" s="39" t="str">
        <f>IF(AND('Mapa final'!$AL$26="Alta",'Mapa final'!$AN$26="Moderado"),CONCATENATE("R2C",'Mapa final'!$U$26),"")</f>
        <v/>
      </c>
      <c r="AA23" s="39" t="str">
        <f>IF(AND('Mapa final'!$AL$27="Alta",'Mapa final'!$AN$27="Moderado"),CONCATENATE("R2C",'Mapa final'!$U$27),"")</f>
        <v/>
      </c>
      <c r="AB23" s="40" t="str">
        <f>IF(AND('Mapa final'!$AL$28="Alta",'Mapa final'!$AN$28="Moderado"),CONCATENATE("R2C",'Mapa final'!$U$28),"")</f>
        <v/>
      </c>
      <c r="AC23" s="38" t="str">
        <f>IF(AND('Mapa final'!$AL$23="Alta",'Mapa final'!$AN$23="Mayor"),CONCATENATE("R2C",'Mapa final'!$U$23),"")</f>
        <v/>
      </c>
      <c r="AD23" s="39" t="str">
        <f>IF(AND('Mapa final'!$AL$24="Alta",'Mapa final'!$AN$24="Mayor"),CONCATENATE("R2C",'Mapa final'!$U$24),"")</f>
        <v/>
      </c>
      <c r="AE23" s="39" t="str">
        <f>IF(AND('Mapa final'!$AL$25="Alta",'Mapa final'!$AN$25="Mayor"),CONCATENATE("R2C",'Mapa final'!$U$25),"")</f>
        <v/>
      </c>
      <c r="AF23" s="39" t="str">
        <f>IF(AND('Mapa final'!$AL$26="Alta",'Mapa final'!$AN$26="Mayor"),CONCATENATE("R2C",'Mapa final'!$U$26),"")</f>
        <v/>
      </c>
      <c r="AG23" s="39" t="str">
        <f>IF(AND('Mapa final'!$AL$27="Alta",'Mapa final'!$AN$27="Mayor"),CONCATENATE("R2C",'Mapa final'!$U$27),"")</f>
        <v/>
      </c>
      <c r="AH23" s="40" t="str">
        <f>IF(AND('Mapa final'!$AL$28="Alta",'Mapa final'!$AN$28="Mayor"),CONCATENATE("R2C",'Mapa final'!$U$28),"")</f>
        <v/>
      </c>
      <c r="AI23" s="41" t="str">
        <f>IF(AND('Mapa final'!$AL$23="Alta",'Mapa final'!$AN$23="Catastrófico"),CONCATENATE("R2C",'Mapa final'!$U$23),"")</f>
        <v/>
      </c>
      <c r="AJ23" s="42" t="str">
        <f>IF(AND('Mapa final'!$AL$24="Alta",'Mapa final'!$AN$24="Catastrófico"),CONCATENATE("R2C",'Mapa final'!$U$24),"")</f>
        <v/>
      </c>
      <c r="AK23" s="42" t="str">
        <f>IF(AND('Mapa final'!$AL$25="Alta",'Mapa final'!$AN$25="Catastrófico"),CONCATENATE("R2C",'Mapa final'!$U$25),"")</f>
        <v/>
      </c>
      <c r="AL23" s="42" t="str">
        <f>IF(AND('Mapa final'!$AL$26="Alta",'Mapa final'!$AN$26="Catastrófico"),CONCATENATE("R2C",'Mapa final'!$U$26),"")</f>
        <v/>
      </c>
      <c r="AM23" s="42" t="str">
        <f>IF(AND('Mapa final'!$AL$27="Alta",'Mapa final'!$AN$27="Catastrófico"),CONCATENATE("R2C",'Mapa final'!$U$27),"")</f>
        <v/>
      </c>
      <c r="AN23" s="43" t="str">
        <f>IF(AND('Mapa final'!$AL$28="Alta",'Mapa final'!$AN$28="Catastrófico"),CONCATENATE("R2C",'Mapa final'!$U$28),"")</f>
        <v/>
      </c>
      <c r="AO23" s="69"/>
      <c r="AP23" s="472"/>
      <c r="AQ23" s="473"/>
      <c r="AR23" s="473"/>
      <c r="AS23" s="473"/>
      <c r="AT23" s="473"/>
      <c r="AU23" s="474"/>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419"/>
      <c r="D24" s="419"/>
      <c r="E24" s="420"/>
      <c r="F24" s="462"/>
      <c r="G24" s="463"/>
      <c r="H24" s="463"/>
      <c r="I24" s="463"/>
      <c r="J24" s="463"/>
      <c r="K24" s="53" t="str">
        <f>IF(AND('Mapa final'!$AL$29="Alta",'Mapa final'!$AN$29="Leve"),CONCATENATE("R2C",'Mapa final'!$U$29),"")</f>
        <v/>
      </c>
      <c r="L24" s="54" t="str">
        <f>IF(AND('Mapa final'!$AL$30="Alta",'Mapa final'!$AN$30="Leve"),CONCATENATE("R2C",'Mapa final'!$U$30),"")</f>
        <v/>
      </c>
      <c r="M24" s="54" t="str">
        <f>IF(AND('Mapa final'!$AL$31="Alta",'Mapa final'!$AN$31="Leve"),CONCATENATE("R2C",'Mapa final'!$U$31),"")</f>
        <v/>
      </c>
      <c r="N24" s="54" t="str">
        <f>IF(AND('Mapa final'!$AL$32="Alta",'Mapa final'!$AN$32="Leve"),CONCATENATE("R2C",'Mapa final'!$U$32),"")</f>
        <v/>
      </c>
      <c r="O24" s="54" t="str">
        <f>IF(AND('Mapa final'!$AL$33="Alta",'Mapa final'!$AN$33="Leve"),CONCATENATE("R2C",'Mapa final'!$U$33),"")</f>
        <v/>
      </c>
      <c r="P24" s="55" t="str">
        <f>IF(AND('Mapa final'!$AL$34="Alta",'Mapa final'!$AN$34="Leve"),CONCATENATE("R2C",'Mapa final'!$U$34),"")</f>
        <v/>
      </c>
      <c r="Q24" s="53" t="str">
        <f>IF(AND('Mapa final'!$AL$29="Alta",'Mapa final'!$AN$29="Menor"),CONCATENATE("R2C",'Mapa final'!$U$29),"")</f>
        <v/>
      </c>
      <c r="R24" s="54" t="str">
        <f>IF(AND('Mapa final'!$AL$30="Alta",'Mapa final'!$AN$30="Menor"),CONCATENATE("R2C",'Mapa final'!$U$30),"")</f>
        <v/>
      </c>
      <c r="S24" s="54" t="str">
        <f>IF(AND('Mapa final'!$AL$31="Alta",'Mapa final'!$AN$31="Menor"),CONCATENATE("R2C",'Mapa final'!$U$31),"")</f>
        <v/>
      </c>
      <c r="T24" s="54" t="str">
        <f>IF(AND('Mapa final'!$AL$32="Alta",'Mapa final'!$AN$32="Menor"),CONCATENATE("R2C",'Mapa final'!$U$32),"")</f>
        <v/>
      </c>
      <c r="U24" s="54" t="str">
        <f>IF(AND('Mapa final'!$AL$33="Alta",'Mapa final'!$AN$33="Menor"),CONCATENATE("R2C",'Mapa final'!$U$33),"")</f>
        <v/>
      </c>
      <c r="V24" s="55" t="str">
        <f>IF(AND('Mapa final'!$AL$34="Alta",'Mapa final'!$AN$34="Menor"),CONCATENATE("R2C",'Mapa final'!$U$34),"")</f>
        <v/>
      </c>
      <c r="W24" s="38" t="str">
        <f>IF(AND('Mapa final'!$AL$29="Alta",'Mapa final'!$AN$29="Moderado"),CONCATENATE("R2C",'Mapa final'!$U$29),"")</f>
        <v/>
      </c>
      <c r="X24" s="39" t="str">
        <f>IF(AND('Mapa final'!$AL$30="Alta",'Mapa final'!$AN$30="Moderado"),CONCATENATE("R2C",'Mapa final'!$U$30),"")</f>
        <v/>
      </c>
      <c r="Y24" s="39" t="str">
        <f>IF(AND('Mapa final'!$AL$31="Alta",'Mapa final'!$AN$31="Moderado"),CONCATENATE("R2C",'Mapa final'!$U$31),"")</f>
        <v/>
      </c>
      <c r="Z24" s="39" t="str">
        <f>IF(AND('Mapa final'!$AL$32="Alta",'Mapa final'!$AN$32="Moderado"),CONCATENATE("R2C",'Mapa final'!$U$32),"")</f>
        <v/>
      </c>
      <c r="AA24" s="39" t="str">
        <f>IF(AND('Mapa final'!$AL$33="Alta",'Mapa final'!$AN$33="Moderado"),CONCATENATE("R2C",'Mapa final'!$U$33),"")</f>
        <v/>
      </c>
      <c r="AB24" s="40" t="str">
        <f>IF(AND('Mapa final'!$AL$34="Alta",'Mapa final'!$AN$34="Moderado"),CONCATENATE("R2C",'Mapa final'!$U$34),"")</f>
        <v/>
      </c>
      <c r="AC24" s="38" t="str">
        <f>IF(AND('Mapa final'!$AL$29="Alta",'Mapa final'!$AN$29="Mayor"),CONCATENATE("R2C",'Mapa final'!$U$29),"")</f>
        <v/>
      </c>
      <c r="AD24" s="39" t="str">
        <f>IF(AND('Mapa final'!$AL$30="Alta",'Mapa final'!$AN$30="Mayor"),CONCATENATE("R2C",'Mapa final'!$U$30),"")</f>
        <v/>
      </c>
      <c r="AE24" s="39" t="str">
        <f>IF(AND('Mapa final'!$AL$31="Alta",'Mapa final'!$AN$31="Mayor"),CONCATENATE("R2C",'Mapa final'!$U$31),"")</f>
        <v/>
      </c>
      <c r="AF24" s="39" t="str">
        <f>IF(AND('Mapa final'!$AL$32="Alta",'Mapa final'!$AN$32="Mayor"),CONCATENATE("R2C",'Mapa final'!$U$32),"")</f>
        <v/>
      </c>
      <c r="AG24" s="39" t="str">
        <f>IF(AND('Mapa final'!$AL$33="Alta",'Mapa final'!$AN$33="Mayor"),CONCATENATE("R2C",'Mapa final'!$U$33),"")</f>
        <v/>
      </c>
      <c r="AH24" s="40" t="str">
        <f>IF(AND('Mapa final'!$AL$34="Alta",'Mapa final'!$AN$34="Mayor"),CONCATENATE("R2C",'Mapa final'!$U$34),"")</f>
        <v/>
      </c>
      <c r="AI24" s="41" t="str">
        <f>IF(AND('Mapa final'!$AL$29="Alta",'Mapa final'!$AN$29="Catastrófico"),CONCATENATE("R2C",'Mapa final'!$U$29),"")</f>
        <v/>
      </c>
      <c r="AJ24" s="42" t="str">
        <f>IF(AND('Mapa final'!$AL$30="Alta",'Mapa final'!$AN$30="Catastrófico"),CONCATENATE("R2C",'Mapa final'!$U$30),"")</f>
        <v/>
      </c>
      <c r="AK24" s="42" t="str">
        <f>IF(AND('Mapa final'!$AL$31="Alta",'Mapa final'!$AN$31="Catastrófico"),CONCATENATE("R2C",'Mapa final'!$U$31),"")</f>
        <v/>
      </c>
      <c r="AL24" s="42" t="str">
        <f>IF(AND('Mapa final'!$AL$32="Alta",'Mapa final'!$AN$32="Catastrófico"),CONCATENATE("R2C",'Mapa final'!$U$32),"")</f>
        <v/>
      </c>
      <c r="AM24" s="42" t="str">
        <f>IF(AND('Mapa final'!$AL$33="Alta",'Mapa final'!$AN$33="Catastrófico"),CONCATENATE("R2C",'Mapa final'!$U$33),"")</f>
        <v/>
      </c>
      <c r="AN24" s="43" t="str">
        <f>IF(AND('Mapa final'!$AL$34="Alta",'Mapa final'!$AN$34="Catastrófico"),CONCATENATE("R2C",'Mapa final'!$U$34),"")</f>
        <v/>
      </c>
      <c r="AO24" s="69"/>
      <c r="AP24" s="472"/>
      <c r="AQ24" s="473"/>
      <c r="AR24" s="473"/>
      <c r="AS24" s="473"/>
      <c r="AT24" s="473"/>
      <c r="AU24" s="474"/>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419"/>
      <c r="D25" s="419"/>
      <c r="E25" s="420"/>
      <c r="F25" s="462"/>
      <c r="G25" s="463"/>
      <c r="H25" s="463"/>
      <c r="I25" s="463"/>
      <c r="J25" s="463"/>
      <c r="K25" s="53" t="str">
        <f>IF(AND('Mapa final'!$AL$35="Alta",'Mapa final'!$AN$35="Leve"),CONCATENATE("R2C",'Mapa final'!$U$35),"")</f>
        <v/>
      </c>
      <c r="L25" s="54" t="str">
        <f>IF(AND('Mapa final'!$AL$36="Alta",'Mapa final'!$AN$36="Leve"),CONCATENATE("R2C",'Mapa final'!$U$36),"")</f>
        <v/>
      </c>
      <c r="M25" s="54" t="str">
        <f>IF(AND('Mapa final'!$AL$37="Alta",'Mapa final'!$AN$37="Leve"),CONCATENATE("R2C",'Mapa final'!$U$37),"")</f>
        <v/>
      </c>
      <c r="N25" s="54" t="str">
        <f>IF(AND('Mapa final'!$AL$38="Alta",'Mapa final'!$AN$38="Leve"),CONCATENATE("R2C",'Mapa final'!$U$38),"")</f>
        <v/>
      </c>
      <c r="O25" s="54" t="str">
        <f>IF(AND('Mapa final'!$AL$39="Alta",'Mapa final'!$AN$39="Leve"),CONCATENATE("R2C",'Mapa final'!$U$39),"")</f>
        <v/>
      </c>
      <c r="P25" s="55" t="str">
        <f>IF(AND('Mapa final'!$AL$40="Alta",'Mapa final'!$AN$40="Leve"),CONCATENATE("R2C",'Mapa final'!$U$40),"")</f>
        <v/>
      </c>
      <c r="Q25" s="53" t="str">
        <f>IF(AND('Mapa final'!$AL$35="Alta",'Mapa final'!$AN$35="Menor"),CONCATENATE("R2C",'Mapa final'!$U$35),"")</f>
        <v/>
      </c>
      <c r="R25" s="54" t="str">
        <f>IF(AND('Mapa final'!$AL$36="Alta",'Mapa final'!$AN$36="Menor"),CONCATENATE("R2C",'Mapa final'!$U$36),"")</f>
        <v/>
      </c>
      <c r="S25" s="54" t="str">
        <f>IF(AND('Mapa final'!$AL$37="Alta",'Mapa final'!$AN$37="Menor"),CONCATENATE("R2C",'Mapa final'!$U$37),"")</f>
        <v/>
      </c>
      <c r="T25" s="54" t="str">
        <f>IF(AND('Mapa final'!$AL$38="Alta",'Mapa final'!$AN$38="Menor"),CONCATENATE("R2C",'Mapa final'!$U$38),"")</f>
        <v/>
      </c>
      <c r="U25" s="54" t="str">
        <f>IF(AND('Mapa final'!$AL$39="Alta",'Mapa final'!$AN$39="LMenor"),CONCATENATE("R2C",'Mapa final'!$U$39),"")</f>
        <v/>
      </c>
      <c r="V25" s="55" t="str">
        <f>IF(AND('Mapa final'!$AL$40="Alta",'Mapa final'!$AN$40="Menor"),CONCATENATE("R2C",'Mapa final'!$U$40),"")</f>
        <v/>
      </c>
      <c r="W25" s="38" t="str">
        <f>IF(AND('Mapa final'!$AL$35="Alta",'Mapa final'!$AN$35="Moderado"),CONCATENATE("R2C",'Mapa final'!$U$35),"")</f>
        <v/>
      </c>
      <c r="X25" s="39" t="str">
        <f>IF(AND('Mapa final'!$AL$36="Alta",'Mapa final'!$AN$36="Moderado"),CONCATENATE("R2C",'Mapa final'!$U$36),"")</f>
        <v/>
      </c>
      <c r="Y25" s="39" t="str">
        <f>IF(AND('Mapa final'!$AL$37="Alta",'Mapa final'!$AN$37="Moderado"),CONCATENATE("R2C",'Mapa final'!$U$37),"")</f>
        <v/>
      </c>
      <c r="Z25" s="39" t="str">
        <f>IF(AND('Mapa final'!$AL$38="Alta",'Mapa final'!$AN$38="Moderado"),CONCATENATE("R2C",'Mapa final'!$U$38),"")</f>
        <v/>
      </c>
      <c r="AA25" s="39" t="str">
        <f>IF(AND('Mapa final'!$AL$39="Alta",'Mapa final'!$AN$39="Moderado"),CONCATENATE("R2C",'Mapa final'!$U$39),"")</f>
        <v/>
      </c>
      <c r="AB25" s="40" t="str">
        <f>IF(AND('Mapa final'!$AL$40="Alta",'Mapa final'!$AN$40="Moderado"),CONCATENATE("R2C",'Mapa final'!$U$40),"")</f>
        <v/>
      </c>
      <c r="AC25" s="38" t="str">
        <f>IF(AND('Mapa final'!$AL$35="Alta",'Mapa final'!$AN$35="Mayor"),CONCATENATE("R2C",'Mapa final'!$U$35),"")</f>
        <v/>
      </c>
      <c r="AD25" s="39" t="str">
        <f>IF(AND('Mapa final'!$AL$36="Alta",'Mapa final'!$AN$36="Mayor"),CONCATENATE("R2C",'Mapa final'!$U$36),"")</f>
        <v/>
      </c>
      <c r="AE25" s="39" t="str">
        <f>IF(AND('Mapa final'!$AL$37="Alta",'Mapa final'!$AN$37="Mayor"),CONCATENATE("R2C",'Mapa final'!$U$37),"")</f>
        <v/>
      </c>
      <c r="AF25" s="39" t="str">
        <f>IF(AND('Mapa final'!$AL$38="Alta",'Mapa final'!$AN$38="Mayor"),CONCATENATE("R2C",'Mapa final'!$U$38),"")</f>
        <v/>
      </c>
      <c r="AG25" s="39" t="str">
        <f>IF(AND('Mapa final'!$AL$39="Alta",'Mapa final'!$AN$39="Mayor"),CONCATENATE("R2C",'Mapa final'!$U$39),"")</f>
        <v/>
      </c>
      <c r="AH25" s="40" t="str">
        <f>IF(AND('Mapa final'!$AL$40="Alta",'Mapa final'!$AN$40="Mayor"),CONCATENATE("R2C",'Mapa final'!$U$40),"")</f>
        <v/>
      </c>
      <c r="AI25" s="41" t="str">
        <f>IF(AND('Mapa final'!$AL$35="Alta",'Mapa final'!$AN$35="Catastrófico"),CONCATENATE("R2C",'Mapa final'!$U$35),"")</f>
        <v/>
      </c>
      <c r="AJ25" s="42" t="str">
        <f>IF(AND('Mapa final'!$AL$36="Alta",'Mapa final'!$AN$36="Catastrófico"),CONCATENATE("R2C",'Mapa final'!$U$36),"")</f>
        <v/>
      </c>
      <c r="AK25" s="42" t="str">
        <f>IF(AND('Mapa final'!$AL$37="Alta",'Mapa final'!$AN$37="Catastrófico"),CONCATENATE("R2C",'Mapa final'!$U$37),"")</f>
        <v/>
      </c>
      <c r="AL25" s="42" t="str">
        <f>IF(AND('Mapa final'!$AL$38="Alta",'Mapa final'!$AN$38="Catastrófico"),CONCATENATE("R2C",'Mapa final'!$U$38),"")</f>
        <v/>
      </c>
      <c r="AM25" s="42" t="str">
        <f>IF(AND('Mapa final'!$AL$39="Alta",'Mapa final'!$AN$39="LCatastrófico"),CONCATENATE("R2C",'Mapa final'!$U$39),"")</f>
        <v/>
      </c>
      <c r="AN25" s="43" t="str">
        <f>IF(AND('Mapa final'!$AL$40="Alta",'Mapa final'!$AN$40="Catastrófico"),CONCATENATE("R2C",'Mapa final'!$U$40),"")</f>
        <v/>
      </c>
      <c r="AO25" s="69"/>
      <c r="AP25" s="472"/>
      <c r="AQ25" s="473"/>
      <c r="AR25" s="473"/>
      <c r="AS25" s="473"/>
      <c r="AT25" s="473"/>
      <c r="AU25" s="474"/>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419"/>
      <c r="D26" s="419"/>
      <c r="E26" s="420"/>
      <c r="F26" s="462"/>
      <c r="G26" s="463"/>
      <c r="H26" s="463"/>
      <c r="I26" s="463"/>
      <c r="J26" s="463"/>
      <c r="K26" s="53" t="str">
        <f>IF(AND('Mapa final'!$AL$41="Alta",'Mapa final'!$AN$41="Leve"),CONCATENATE("R2C",'Mapa final'!$U$41),"")</f>
        <v/>
      </c>
      <c r="L26" s="54" t="str">
        <f>IF(AND('Mapa final'!$AL$42="Alta",'Mapa final'!$AN$42="Leve"),CONCATENATE("R2C",'Mapa final'!$U$42),"")</f>
        <v/>
      </c>
      <c r="M26" s="54" t="str">
        <f>IF(AND('Mapa final'!$AL$43="Alta",'Mapa final'!$AN$43="Leve"),CONCATENATE("R2C",'Mapa final'!$U$43),"")</f>
        <v/>
      </c>
      <c r="N26" s="54" t="str">
        <f>IF(AND('Mapa final'!$AL$44="Alta",'Mapa final'!$AN$44="Leve"),CONCATENATE("R2C",'Mapa final'!$U$44),"")</f>
        <v/>
      </c>
      <c r="O26" s="54" t="str">
        <f>IF(AND('Mapa final'!$AL$45="Alta",'Mapa final'!$AN$45="Leve"),CONCATENATE("R2C",'Mapa final'!$U$45),"")</f>
        <v/>
      </c>
      <c r="P26" s="55" t="str">
        <f>IF(AND('Mapa final'!$AL$46="Alta",'Mapa final'!$AN$46="Leve"),CONCATENATE("R2C",'Mapa final'!$U$46),"")</f>
        <v/>
      </c>
      <c r="Q26" s="53" t="str">
        <f>IF(AND('Mapa final'!$AL$41="Alta",'Mapa final'!$AN$41="Menor"),CONCATENATE("R2C",'Mapa final'!$U$41),"")</f>
        <v/>
      </c>
      <c r="R26" s="54" t="str">
        <f>IF(AND('Mapa final'!$AL$42="Alta",'Mapa final'!$AN$42="Menor"),CONCATENATE("R2C",'Mapa final'!$U$42),"")</f>
        <v/>
      </c>
      <c r="S26" s="54" t="str">
        <f>IF(AND('Mapa final'!$AL$43="Alta",'Mapa final'!$AN$43="Menor"),CONCATENATE("R2C",'Mapa final'!$U$43),"")</f>
        <v/>
      </c>
      <c r="T26" s="54" t="str">
        <f>IF(AND('Mapa final'!$AL$44="Alta",'Mapa final'!$AN$44="Menor"),CONCATENATE("R2C",'Mapa final'!$U$44),"")</f>
        <v/>
      </c>
      <c r="U26" s="54" t="str">
        <f>IF(AND('Mapa final'!$AL$45="Alta",'Mapa final'!$AN$45="Menor"),CONCATENATE("R2C",'Mapa final'!$U$45),"")</f>
        <v/>
      </c>
      <c r="V26" s="55" t="str">
        <f>IF(AND('Mapa final'!$AL$46="Alta",'Mapa final'!$AN$46="Menor"),CONCATENATE("R2C",'Mapa final'!$U$46),"")</f>
        <v/>
      </c>
      <c r="W26" s="38" t="str">
        <f>IF(AND('Mapa final'!$AL$41="Alta",'Mapa final'!$AN$41="Moderado"),CONCATENATE("R2C",'Mapa final'!$U$41),"")</f>
        <v/>
      </c>
      <c r="X26" s="39" t="str">
        <f>IF(AND('Mapa final'!$AL$42="Alta",'Mapa final'!$AN$42="Moderado"),CONCATENATE("R2C",'Mapa final'!$U$42),"")</f>
        <v/>
      </c>
      <c r="Y26" s="39" t="str">
        <f>IF(AND('Mapa final'!$AL$43="Alta",'Mapa final'!$AN$43="Moderado"),CONCATENATE("R2C",'Mapa final'!$U$43),"")</f>
        <v/>
      </c>
      <c r="Z26" s="39" t="str">
        <f>IF(AND('Mapa final'!$AL$44="Alta",'Mapa final'!$AN$44="Moderado"),CONCATENATE("R2C",'Mapa final'!$U$44),"")</f>
        <v/>
      </c>
      <c r="AA26" s="39" t="str">
        <f>IF(AND('Mapa final'!$AL$45="Alta",'Mapa final'!$AN$45="Moderado"),CONCATENATE("R2C",'Mapa final'!$U$45),"")</f>
        <v/>
      </c>
      <c r="AB26" s="40" t="str">
        <f>IF(AND('Mapa final'!$AL$46="Alta",'Mapa final'!$AN$46="Moderado"),CONCATENATE("R2C",'Mapa final'!$U$46),"")</f>
        <v/>
      </c>
      <c r="AC26" s="38" t="str">
        <f>IF(AND('Mapa final'!$AL$41="Alta",'Mapa final'!$AN$41="Mayor"),CONCATENATE("R2C",'Mapa final'!$U$41),"")</f>
        <v/>
      </c>
      <c r="AD26" s="39" t="str">
        <f>IF(AND('Mapa final'!$AL$42="Alta",'Mapa final'!$AN$42="Mayor"),CONCATENATE("R2C",'Mapa final'!$U$42),"")</f>
        <v/>
      </c>
      <c r="AE26" s="39" t="str">
        <f>IF(AND('Mapa final'!$AL$43="Alta",'Mapa final'!$AN$43="Mayor"),CONCATENATE("R2C",'Mapa final'!$U$43),"")</f>
        <v/>
      </c>
      <c r="AF26" s="39" t="str">
        <f>IF(AND('Mapa final'!$AL$44="Alta",'Mapa final'!$AN$44="Mayor"),CONCATENATE("R2C",'Mapa final'!$U$44),"")</f>
        <v/>
      </c>
      <c r="AG26" s="39" t="str">
        <f>IF(AND('Mapa final'!$AL$45="Alta",'Mapa final'!$AN$45="Mayor"),CONCATENATE("R2C",'Mapa final'!$U$45),"")</f>
        <v/>
      </c>
      <c r="AH26" s="40" t="str">
        <f>IF(AND('Mapa final'!$AL$46="Alta",'Mapa final'!$AN$46="Mayor"),CONCATENATE("R2C",'Mapa final'!$U$46),"")</f>
        <v/>
      </c>
      <c r="AI26" s="41" t="str">
        <f>IF(AND('Mapa final'!$AL$41="Alta",'Mapa final'!$AN$41="Catastrófico"),CONCATENATE("R2C",'Mapa final'!$U$41),"")</f>
        <v/>
      </c>
      <c r="AJ26" s="42" t="str">
        <f>IF(AND('Mapa final'!$AL$42="Alta",'Mapa final'!$AN$42="Catastrófico"),CONCATENATE("R2C",'Mapa final'!$U$42),"")</f>
        <v/>
      </c>
      <c r="AK26" s="42" t="str">
        <f>IF(AND('Mapa final'!$AL$43="Alta",'Mapa final'!$AN$43="Catastrófico"),CONCATENATE("R2C",'Mapa final'!$U$43),"")</f>
        <v/>
      </c>
      <c r="AL26" s="42" t="str">
        <f>IF(AND('Mapa final'!$AL$44="Alta",'Mapa final'!$AN$44="Catastrófico"),CONCATENATE("R2C",'Mapa final'!$U$44),"")</f>
        <v/>
      </c>
      <c r="AM26" s="42" t="str">
        <f>IF(AND('Mapa final'!$AL$45="Alta",'Mapa final'!$AN$45="Catastrófico"),CONCATENATE("R2C",'Mapa final'!$U$45),"")</f>
        <v/>
      </c>
      <c r="AN26" s="43" t="str">
        <f>IF(AND('Mapa final'!$AL$46="Alta",'Mapa final'!$AN$46="Catastrófico"),CONCATENATE("R2C",'Mapa final'!$U$46),"")</f>
        <v/>
      </c>
      <c r="AO26" s="69"/>
      <c r="AP26" s="472"/>
      <c r="AQ26" s="473"/>
      <c r="AR26" s="473"/>
      <c r="AS26" s="473"/>
      <c r="AT26" s="473"/>
      <c r="AU26" s="474"/>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419"/>
      <c r="D27" s="419"/>
      <c r="E27" s="420"/>
      <c r="F27" s="462"/>
      <c r="G27" s="463"/>
      <c r="H27" s="463"/>
      <c r="I27" s="463"/>
      <c r="J27" s="463"/>
      <c r="K27" s="53" t="str">
        <f>IF(AND('Mapa final'!$AL$47="Alta",'Mapa final'!$AN$47="Leve"),CONCATENATE("R2C",'Mapa final'!$U$47),"")</f>
        <v/>
      </c>
      <c r="L27" s="54" t="str">
        <f>IF(AND('Mapa final'!$AL$48="Alta",'Mapa final'!$AN$48="Leve"),CONCATENATE("R2C",'Mapa final'!$U$48),"")</f>
        <v/>
      </c>
      <c r="M27" s="54" t="str">
        <f>IF(AND('Mapa final'!$AL$49="Alta",'Mapa final'!$AN$49="Leve"),CONCATENATE("R2C",'Mapa final'!$U$49),"")</f>
        <v/>
      </c>
      <c r="N27" s="54" t="str">
        <f>IF(AND('Mapa final'!$AL$50="Alta",'Mapa final'!$AN$50="Leve"),CONCATENATE("R2C",'Mapa final'!$U$50),"")</f>
        <v/>
      </c>
      <c r="O27" s="54" t="str">
        <f>IF(AND('Mapa final'!$AL$51="Alta",'Mapa final'!$AN$51="Leve"),CONCATENATE("R2C",'Mapa final'!$U$51),"")</f>
        <v/>
      </c>
      <c r="P27" s="55" t="str">
        <f>IF(AND('Mapa final'!$AL$62="Alta",'Mapa final'!$AN$52="Leve"),CONCATENATE("R2C",'Mapa final'!$U$52),"")</f>
        <v/>
      </c>
      <c r="Q27" s="53" t="str">
        <f>IF(AND('Mapa final'!$AL$47="Alta",'Mapa final'!$AN$47="Menor"),CONCATENATE("R2C",'Mapa final'!$U$47),"")</f>
        <v/>
      </c>
      <c r="R27" s="54" t="str">
        <f>IF(AND('Mapa final'!$AL$48="Alta",'Mapa final'!$AN$48="Menor"),CONCATENATE("R2C",'Mapa final'!$U$48),"")</f>
        <v/>
      </c>
      <c r="S27" s="54" t="str">
        <f>IF(AND('Mapa final'!$AL$49="Alta",'Mapa final'!$AN$49="Menor"),CONCATENATE("R2C",'Mapa final'!$U$49),"")</f>
        <v/>
      </c>
      <c r="T27" s="54" t="str">
        <f>IF(AND('Mapa final'!$AL$50="Alta",'Mapa final'!$AN$50="Menor"),CONCATENATE("R2C",'Mapa final'!$U$50),"")</f>
        <v/>
      </c>
      <c r="U27" s="54" t="str">
        <f>IF(AND('Mapa final'!$AL$51="Alta",'Mapa final'!$AN$51="Menor"),CONCATENATE("R2C",'Mapa final'!$U$51),"")</f>
        <v/>
      </c>
      <c r="V27" s="55" t="str">
        <f>IF(AND('Mapa final'!$AL$62="Alta",'Mapa final'!$AN$52="Menor"),CONCATENATE("R2C",'Mapa final'!$U$52),"")</f>
        <v/>
      </c>
      <c r="W27" s="38" t="str">
        <f>IF(AND('Mapa final'!$AL$47="Alta",'Mapa final'!$AN$47="Moderado"),CONCATENATE("R2C",'Mapa final'!$U$47),"")</f>
        <v/>
      </c>
      <c r="X27" s="39" t="str">
        <f>IF(AND('Mapa final'!$AL$48="Alta",'Mapa final'!$AN$48="Moderado"),CONCATENATE("R2C",'Mapa final'!$U$48),"")</f>
        <v/>
      </c>
      <c r="Y27" s="39" t="str">
        <f>IF(AND('Mapa final'!$AL$49="Alta",'Mapa final'!$AN$49="Moderado"),CONCATENATE("R2C",'Mapa final'!$U$49),"")</f>
        <v/>
      </c>
      <c r="Z27" s="39" t="str">
        <f>IF(AND('Mapa final'!$AL$50="Alta",'Mapa final'!$AN$50="Moderado"),CONCATENATE("R2C",'Mapa final'!$U$50),"")</f>
        <v/>
      </c>
      <c r="AA27" s="39" t="str">
        <f>IF(AND('Mapa final'!$AL$51="Alta",'Mapa final'!$AN$51="Moderado"),CONCATENATE("R2C",'Mapa final'!$U$51),"")</f>
        <v/>
      </c>
      <c r="AB27" s="40" t="str">
        <f>IF(AND('Mapa final'!$AL$62="Alta",'Mapa final'!$AN$52="Moderado"),CONCATENATE("R2C",'Mapa final'!$U$52),"")</f>
        <v/>
      </c>
      <c r="AC27" s="38" t="str">
        <f>IF(AND('Mapa final'!$AL$47="Alta",'Mapa final'!$AN$47="Mayor"),CONCATENATE("R2C",'Mapa final'!$U$47),"")</f>
        <v/>
      </c>
      <c r="AD27" s="39" t="str">
        <f>IF(AND('Mapa final'!$AL$48="Alta",'Mapa final'!$AN$48="Mayor"),CONCATENATE("R2C",'Mapa final'!$U$48),"")</f>
        <v/>
      </c>
      <c r="AE27" s="39" t="str">
        <f>IF(AND('Mapa final'!$AL$49="Alta",'Mapa final'!$AN$49="Mayor"),CONCATENATE("R2C",'Mapa final'!$U$49),"")</f>
        <v/>
      </c>
      <c r="AF27" s="39" t="str">
        <f>IF(AND('Mapa final'!$AL$50="Alta",'Mapa final'!$AN$50="Mayor"),CONCATENATE("R2C",'Mapa final'!$U$50),"")</f>
        <v/>
      </c>
      <c r="AG27" s="39" t="str">
        <f>IF(AND('Mapa final'!$AL$51="Alta",'Mapa final'!$AN$51="Mayor"),CONCATENATE("R2C",'Mapa final'!$U$51),"")</f>
        <v/>
      </c>
      <c r="AH27" s="40" t="str">
        <f>IF(AND('Mapa final'!$AL$62="Alta",'Mapa final'!$AN$52="Mayor"),CONCATENATE("R2C",'Mapa final'!$U$52),"")</f>
        <v/>
      </c>
      <c r="AI27" s="41" t="str">
        <f>IF(AND('Mapa final'!$AL$47="Alta",'Mapa final'!$AN$47="Catastrófico"),CONCATENATE("R2C",'Mapa final'!$U$47),"")</f>
        <v/>
      </c>
      <c r="AJ27" s="42" t="str">
        <f>IF(AND('Mapa final'!$AL$48="Alta",'Mapa final'!$AN$48="Catastrófico"),CONCATENATE("R2C",'Mapa final'!$U$48),"")</f>
        <v/>
      </c>
      <c r="AK27" s="42" t="str">
        <f>IF(AND('Mapa final'!$AL$49="Alta",'Mapa final'!$AN$49="Catastrófico"),CONCATENATE("R2C",'Mapa final'!$U$49),"")</f>
        <v/>
      </c>
      <c r="AL27" s="42" t="str">
        <f>IF(AND('Mapa final'!$AL$50="Alta",'Mapa final'!$AN$50="Catastrófico"),CONCATENATE("R2C",'Mapa final'!$U$50),"")</f>
        <v/>
      </c>
      <c r="AM27" s="42" t="str">
        <f>IF(AND('Mapa final'!$AL$51="Alta",'Mapa final'!$AN$51="Catastrófico"),CONCATENATE("R2C",'Mapa final'!$U$51),"")</f>
        <v/>
      </c>
      <c r="AN27" s="43" t="str">
        <f>IF(AND('Mapa final'!$AL$62="Alta",'Mapa final'!$AN$52="Catastrófico"),CONCATENATE("R2C",'Mapa final'!$U$52),"")</f>
        <v/>
      </c>
      <c r="AO27" s="69"/>
      <c r="AP27" s="472"/>
      <c r="AQ27" s="473"/>
      <c r="AR27" s="473"/>
      <c r="AS27" s="473"/>
      <c r="AT27" s="473"/>
      <c r="AU27" s="474"/>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419"/>
      <c r="D28" s="419"/>
      <c r="E28" s="420"/>
      <c r="F28" s="462"/>
      <c r="G28" s="463"/>
      <c r="H28" s="463"/>
      <c r="I28" s="463"/>
      <c r="J28" s="463"/>
      <c r="K28" s="53" t="str">
        <f>IF(AND('Mapa final'!$AL$53="Alta",'Mapa final'!$AN$53="Leve"),CONCATENATE("R2C",'Mapa final'!$U$53),"")</f>
        <v/>
      </c>
      <c r="L28" s="54" t="str">
        <f>IF(AND('Mapa final'!$AL$54="Alta",'Mapa final'!$AN$54="Leve"),CONCATENATE("R2C",'Mapa final'!$U$54),"")</f>
        <v/>
      </c>
      <c r="M28" s="54" t="str">
        <f>IF(AND('Mapa final'!$AL$55="Alta",'Mapa final'!$AN$55="Leve"),CONCATENATE("R2C",'Mapa final'!$U$55),"")</f>
        <v/>
      </c>
      <c r="N28" s="54" t="str">
        <f>IF(AND('Mapa final'!$AL$56="Alta",'Mapa final'!$AN$56="Leve"),CONCATENATE("R2C",'Mapa final'!$U$56),"")</f>
        <v/>
      </c>
      <c r="O28" s="54" t="str">
        <f>IF(AND('Mapa final'!$AL$57="Alta",'Mapa final'!$AN$57="Leve"),CONCATENATE("R2C",'Mapa final'!$U$57),"")</f>
        <v/>
      </c>
      <c r="P28" s="55" t="str">
        <f>IF(AND('Mapa final'!$AL$58="Alta",'Mapa final'!$AN$58="Leve"),CONCATENATE("R2C",'Mapa final'!$U$58),"")</f>
        <v/>
      </c>
      <c r="Q28" s="53" t="str">
        <f>IF(AND('Mapa final'!$AL$53="Alta",'Mapa final'!$AN$53="Menor"),CONCATENATE("R2C",'Mapa final'!$U$53),"")</f>
        <v/>
      </c>
      <c r="R28" s="54" t="str">
        <f>IF(AND('Mapa final'!$AL$54="Alta",'Mapa final'!$AN$54="Menor"),CONCATENATE("R2C",'Mapa final'!$U$54),"")</f>
        <v/>
      </c>
      <c r="S28" s="54" t="str">
        <f>IF(AND('Mapa final'!$AL$55="Alta",'Mapa final'!$AN$55="Menor"),CONCATENATE("R2C",'Mapa final'!$U$55),"")</f>
        <v/>
      </c>
      <c r="T28" s="54" t="str">
        <f>IF(AND('Mapa final'!$AL$56="Alta",'Mapa final'!$AN$56="Menor"),CONCATENATE("R2C",'Mapa final'!$U$56),"")</f>
        <v/>
      </c>
      <c r="U28" s="54" t="str">
        <f>IF(AND('Mapa final'!$AL$57="Alta",'Mapa final'!$AN$57="Menor"),CONCATENATE("R2C",'Mapa final'!$U$57),"")</f>
        <v/>
      </c>
      <c r="V28" s="55" t="str">
        <f>IF(AND('Mapa final'!$AL$58="Alta",'Mapa final'!$AN$58="Menor"),CONCATENATE("R2C",'Mapa final'!$U$58),"")</f>
        <v/>
      </c>
      <c r="W28" s="38" t="str">
        <f>IF(AND('Mapa final'!$AL$53="Alta",'Mapa final'!$AN$53="Moderado"),CONCATENATE("R2C",'Mapa final'!$U$53),"")</f>
        <v/>
      </c>
      <c r="X28" s="39" t="str">
        <f>IF(AND('Mapa final'!$AL$54="Alta",'Mapa final'!$AN$54="Moderado"),CONCATENATE("R2C",'Mapa final'!$U$54),"")</f>
        <v/>
      </c>
      <c r="Y28" s="39" t="str">
        <f>IF(AND('Mapa final'!$AL$55="Alta",'Mapa final'!$AN$55="Moderado"),CONCATENATE("R2C",'Mapa final'!$U$55),"")</f>
        <v/>
      </c>
      <c r="Z28" s="39" t="str">
        <f>IF(AND('Mapa final'!$AL$56="Alta",'Mapa final'!$AN$56="Moderado"),CONCATENATE("R2C",'Mapa final'!$U$56),"")</f>
        <v/>
      </c>
      <c r="AA28" s="39" t="str">
        <f>IF(AND('Mapa final'!$AL$57="Alta",'Mapa final'!$AN$57="Moderado"),CONCATENATE("R2C",'Mapa final'!$U$57),"")</f>
        <v/>
      </c>
      <c r="AB28" s="40" t="str">
        <f>IF(AND('Mapa final'!$AL$58="Alta",'Mapa final'!$AN$58="Moderado"),CONCATENATE("R2C",'Mapa final'!$U$58),"")</f>
        <v/>
      </c>
      <c r="AC28" s="38" t="str">
        <f>IF(AND('Mapa final'!$AL$53="Alta",'Mapa final'!$AN$53="Mayor"),CONCATENATE("R2C",'Mapa final'!$U$53),"")</f>
        <v/>
      </c>
      <c r="AD28" s="39" t="str">
        <f>IF(AND('Mapa final'!$AL$54="Alta",'Mapa final'!$AN$54="Mayor"),CONCATENATE("R2C",'Mapa final'!$U$54),"")</f>
        <v/>
      </c>
      <c r="AE28" s="39" t="str">
        <f>IF(AND('Mapa final'!$AL$55="Alta",'Mapa final'!$AN$55="Mayor"),CONCATENATE("R2C",'Mapa final'!$U$55),"")</f>
        <v/>
      </c>
      <c r="AF28" s="39" t="str">
        <f>IF(AND('Mapa final'!$AL$56="Alta",'Mapa final'!$AN$56="Mayor"),CONCATENATE("R2C",'Mapa final'!$U$56),"")</f>
        <v/>
      </c>
      <c r="AG28" s="39" t="str">
        <f>IF(AND('Mapa final'!$AL$57="Alta",'Mapa final'!$AN$57="Mayor"),CONCATENATE("R2C",'Mapa final'!$U$57),"")</f>
        <v/>
      </c>
      <c r="AH28" s="40" t="str">
        <f>IF(AND('Mapa final'!$AL$58="Alta",'Mapa final'!$AN$58="Mayor"),CONCATENATE("R2C",'Mapa final'!$U$58),"")</f>
        <v/>
      </c>
      <c r="AI28" s="41" t="str">
        <f>IF(AND('Mapa final'!$AL$53="Alta",'Mapa final'!$AN$53="Catastrófico"),CONCATENATE("R2C",'Mapa final'!$U$53),"")</f>
        <v/>
      </c>
      <c r="AJ28" s="42" t="str">
        <f>IF(AND('Mapa final'!$AL$54="Alta",'Mapa final'!$AN$54="Catastrófico"),CONCATENATE("R2C",'Mapa final'!$U$54),"")</f>
        <v/>
      </c>
      <c r="AK28" s="42" t="str">
        <f>IF(AND('Mapa final'!$AL$55="Alta",'Mapa final'!$AN$55="Catastrófico"),CONCATENATE("R2C",'Mapa final'!$U$55),"")</f>
        <v/>
      </c>
      <c r="AL28" s="42" t="str">
        <f>IF(AND('Mapa final'!$AL$56="Alta",'Mapa final'!$AN$56="Catastrófico"),CONCATENATE("R2C",'Mapa final'!$U$56),"")</f>
        <v/>
      </c>
      <c r="AM28" s="42" t="str">
        <f>IF(AND('Mapa final'!$AL$57="Alta",'Mapa final'!$AN$57="Catastrófico"),CONCATENATE("R2C",'Mapa final'!$U$57),"")</f>
        <v/>
      </c>
      <c r="AN28" s="43" t="str">
        <f>IF(AND('Mapa final'!$AL$58="Alta",'Mapa final'!$AN$58="Catastrófico"),CONCATENATE("R2C",'Mapa final'!$U$58),"")</f>
        <v/>
      </c>
      <c r="AO28" s="69"/>
      <c r="AP28" s="472"/>
      <c r="AQ28" s="473"/>
      <c r="AR28" s="473"/>
      <c r="AS28" s="473"/>
      <c r="AT28" s="473"/>
      <c r="AU28" s="474"/>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419"/>
      <c r="D29" s="419"/>
      <c r="E29" s="420"/>
      <c r="F29" s="462"/>
      <c r="G29" s="463"/>
      <c r="H29" s="463"/>
      <c r="I29" s="463"/>
      <c r="J29" s="463"/>
      <c r="K29" s="53" t="str">
        <f>IF(AND('Mapa final'!$AL$59="Alta",'Mapa final'!$AN$59="Leve"),CONCATENATE("R2C",'Mapa final'!$U$59),"")</f>
        <v/>
      </c>
      <c r="L29" s="54" t="str">
        <f>IF(AND('Mapa final'!$AL$60="Alta",'Mapa final'!$AN$60="Leve"),CONCATENATE("R2C",'Mapa final'!$U$60),"")</f>
        <v/>
      </c>
      <c r="M29" s="54" t="str">
        <f>IF(AND('Mapa final'!$AL$61="Alta",'Mapa final'!$AN$61="Leve"),CONCATENATE("R2C",'Mapa final'!$U$61),"")</f>
        <v/>
      </c>
      <c r="N29" s="54" t="str">
        <f>IF(AND('Mapa final'!$AL$62="Alta",'Mapa final'!$AN$62="Leve"),CONCATENATE("R2C",'Mapa final'!$U$62),"")</f>
        <v/>
      </c>
      <c r="O29" s="54" t="str">
        <f>IF(AND('Mapa final'!$AL$63="Alta",'Mapa final'!$AN$63="Leve"),CONCATENATE("R2C",'Mapa final'!$U$63),"")</f>
        <v/>
      </c>
      <c r="P29" s="55" t="str">
        <f>IF(AND('Mapa final'!$AL$64="Alta",'Mapa final'!$AN$64="Leve"),CONCATENATE("R2C",'Mapa final'!$U$64),"")</f>
        <v/>
      </c>
      <c r="Q29" s="53" t="str">
        <f>IF(AND('Mapa final'!$AL$59="Alta",'Mapa final'!$AN$59="Menor"),CONCATENATE("R2C",'Mapa final'!$U$59),"")</f>
        <v/>
      </c>
      <c r="R29" s="54" t="str">
        <f>IF(AND('Mapa final'!$AL$60="Alta",'Mapa final'!$AN$60="Menor"),CONCATENATE("R2C",'Mapa final'!$U$60),"")</f>
        <v/>
      </c>
      <c r="S29" s="54" t="str">
        <f>IF(AND('Mapa final'!$AL$61="Alta",'Mapa final'!$AN$61="Menor"),CONCATENATE("R2C",'Mapa final'!$U$61),"")</f>
        <v/>
      </c>
      <c r="T29" s="54" t="str">
        <f>IF(AND('Mapa final'!$AL$62="Alta",'Mapa final'!$AN$62="Menor"),CONCATENATE("R2C",'Mapa final'!$U$62),"")</f>
        <v/>
      </c>
      <c r="U29" s="54" t="str">
        <f>IF(AND('Mapa final'!$AL$63="Alta",'Mapa final'!$AN$63="Menor"),CONCATENATE("R2C",'Mapa final'!$U$63),"")</f>
        <v/>
      </c>
      <c r="V29" s="55" t="str">
        <f>IF(AND('Mapa final'!$AL$64="Alta",'Mapa final'!$AN$64="Menor"),CONCATENATE("R2C",'Mapa final'!$U$64),"")</f>
        <v/>
      </c>
      <c r="W29" s="38" t="str">
        <f>IF(AND('Mapa final'!$AL$59="Alta",'Mapa final'!$AN$59="Moderado"),CONCATENATE("R2C",'Mapa final'!$U$59),"")</f>
        <v/>
      </c>
      <c r="X29" s="39" t="str">
        <f>IF(AND('Mapa final'!$AL$60="Alta",'Mapa final'!$AN$60="Moderado"),CONCATENATE("R2C",'Mapa final'!$U$60),"")</f>
        <v/>
      </c>
      <c r="Y29" s="39" t="str">
        <f>IF(AND('Mapa final'!$AL$61="Alta",'Mapa final'!$AN$61="Moderado"),CONCATENATE("R2C",'Mapa final'!$U$61),"")</f>
        <v/>
      </c>
      <c r="Z29" s="39" t="str">
        <f>IF(AND('Mapa final'!$AL$62="Alta",'Mapa final'!$AN$62="Moderado"),CONCATENATE("R2C",'Mapa final'!$U$62),"")</f>
        <v/>
      </c>
      <c r="AA29" s="39" t="str">
        <f>IF(AND('Mapa final'!$AL$63="Alta",'Mapa final'!$AN$63="Moderado"),CONCATENATE("R2C",'Mapa final'!$U$63),"")</f>
        <v/>
      </c>
      <c r="AB29" s="40" t="str">
        <f>IF(AND('Mapa final'!$AL$64="Alta",'Mapa final'!$AN$64="Moderado"),CONCATENATE("R2C",'Mapa final'!$U$64),"")</f>
        <v/>
      </c>
      <c r="AC29" s="38" t="str">
        <f>IF(AND('Mapa final'!$AL$59="Alta",'Mapa final'!$AN$59="Mayor"),CONCATENATE("R2C",'Mapa final'!$U$59),"")</f>
        <v/>
      </c>
      <c r="AD29" s="39" t="str">
        <f>IF(AND('Mapa final'!$AL$60="Alta",'Mapa final'!$AN$60="Mayor"),CONCATENATE("R2C",'Mapa final'!$U$60),"")</f>
        <v/>
      </c>
      <c r="AE29" s="39" t="str">
        <f>IF(AND('Mapa final'!$AL$61="Alta",'Mapa final'!$AN$61="Mayor"),CONCATENATE("R2C",'Mapa final'!$U$61),"")</f>
        <v/>
      </c>
      <c r="AF29" s="39" t="str">
        <f>IF(AND('Mapa final'!$AL$62="Alta",'Mapa final'!$AN$62="Mayor"),CONCATENATE("R2C",'Mapa final'!$U$62),"")</f>
        <v/>
      </c>
      <c r="AG29" s="39" t="str">
        <f>IF(AND('Mapa final'!$AL$63="Alta",'Mapa final'!$AN$63="Mayor"),CONCATENATE("R2C",'Mapa final'!$U$63),"")</f>
        <v/>
      </c>
      <c r="AH29" s="40" t="str">
        <f>IF(AND('Mapa final'!$AL$64="Alta",'Mapa final'!$AN$64="Mayor"),CONCATENATE("R2C",'Mapa final'!$U$64),"")</f>
        <v/>
      </c>
      <c r="AI29" s="41" t="str">
        <f>IF(AND('Mapa final'!$AL$59="Alta",'Mapa final'!$AN$59="Catastrófico"),CONCATENATE("R2C",'Mapa final'!$U$59),"")</f>
        <v/>
      </c>
      <c r="AJ29" s="42" t="str">
        <f>IF(AND('Mapa final'!$AL$60="Alta",'Mapa final'!$AN$60="Catastrófico"),CONCATENATE("R2C",'Mapa final'!$U$60),"")</f>
        <v/>
      </c>
      <c r="AK29" s="42" t="str">
        <f>IF(AND('Mapa final'!$AL$61="Alta",'Mapa final'!$AN$61="Catastrófico"),CONCATENATE("R2C",'Mapa final'!$U$61),"")</f>
        <v/>
      </c>
      <c r="AL29" s="42" t="str">
        <f>IF(AND('Mapa final'!$AL$62="Alta",'Mapa final'!$AN$62="Catastrófico"),CONCATENATE("R2C",'Mapa final'!$U$62),"")</f>
        <v/>
      </c>
      <c r="AM29" s="42" t="str">
        <f>IF(AND('Mapa final'!$AL$63="Alta",'Mapa final'!$AN$63="Catastrófico"),CONCATENATE("R2C",'Mapa final'!$U$63),"")</f>
        <v/>
      </c>
      <c r="AN29" s="43" t="str">
        <f>IF(AND('Mapa final'!$AL$64="Alta",'Mapa final'!$AN$64="Catastrófico"),CONCATENATE("R2C",'Mapa final'!$U$64),"")</f>
        <v/>
      </c>
      <c r="AO29" s="69"/>
      <c r="AP29" s="472"/>
      <c r="AQ29" s="473"/>
      <c r="AR29" s="473"/>
      <c r="AS29" s="473"/>
      <c r="AT29" s="473"/>
      <c r="AU29" s="474"/>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419"/>
      <c r="D30" s="419"/>
      <c r="E30" s="420"/>
      <c r="F30" s="462"/>
      <c r="G30" s="463"/>
      <c r="H30" s="463"/>
      <c r="I30" s="463"/>
      <c r="J30" s="463"/>
      <c r="K30" s="53" t="str">
        <f>IF(AND('Mapa final'!$AL$65="Alta",'Mapa final'!$AN$65="Leve"),CONCATENATE("R2C",'Mapa final'!$U$65),"")</f>
        <v/>
      </c>
      <c r="L30" s="54" t="str">
        <f>IF(AND('Mapa final'!$AL$66="Alta",'Mapa final'!$AN$66="Leve"),CONCATENATE("R2C",'Mapa final'!$U$66),"")</f>
        <v/>
      </c>
      <c r="M30" s="54" t="str">
        <f>IF(AND('Mapa final'!$AL$67="Alta",'Mapa final'!$AN$67="Leve"),CONCATENATE("R2C",'Mapa final'!$U$67),"")</f>
        <v/>
      </c>
      <c r="N30" s="54" t="str">
        <f>IF(AND('Mapa final'!$AL$68="Alta",'Mapa final'!$AN$68="Leve"),CONCATENATE("R2C",'Mapa final'!$U$68),"")</f>
        <v/>
      </c>
      <c r="O30" s="54" t="str">
        <f>IF(AND('Mapa final'!$AL$69="Alta",'Mapa final'!$AN$69="Leve"),CONCATENATE("R2C",'Mapa final'!$U$69),"")</f>
        <v/>
      </c>
      <c r="P30" s="55" t="str">
        <f>IF(AND('Mapa final'!$AL$70="Alta",'Mapa final'!$AN$70="Leve"),CONCATENATE("R2C",'Mapa final'!$U$70),"")</f>
        <v/>
      </c>
      <c r="Q30" s="53" t="str">
        <f>IF(AND('Mapa final'!$AL$65="Alta",'Mapa final'!$AN$65="Menor"),CONCATENATE("R2C",'Mapa final'!$U$65),"")</f>
        <v/>
      </c>
      <c r="R30" s="54" t="str">
        <f>IF(AND('Mapa final'!$AL$66="Alta",'Mapa final'!$AN$66="Menor"),CONCATENATE("R2C",'Mapa final'!$U$66),"")</f>
        <v/>
      </c>
      <c r="S30" s="54" t="str">
        <f>IF(AND('Mapa final'!$AL$67="Alta",'Mapa final'!$AN$67="Menor"),CONCATENATE("R2C",'Mapa final'!$U$67),"")</f>
        <v/>
      </c>
      <c r="T30" s="54" t="str">
        <f>IF(AND('Mapa final'!$AL$68="Alta",'Mapa final'!$AN$68="Menor"),CONCATENATE("R2C",'Mapa final'!$U$68),"")</f>
        <v/>
      </c>
      <c r="U30" s="54" t="str">
        <f>IF(AND('Mapa final'!$AL$69="Alta",'Mapa final'!$AN$69="Menor"),CONCATENATE("R2C",'Mapa final'!$U$69),"")</f>
        <v/>
      </c>
      <c r="V30" s="55" t="str">
        <f>IF(AND('Mapa final'!$AL$70="Alta",'Mapa final'!$AN$70="Menor"),CONCATENATE("R2C",'Mapa final'!$U$70),"")</f>
        <v/>
      </c>
      <c r="W30" s="38" t="str">
        <f>IF(AND('Mapa final'!$AL$65="Alta",'Mapa final'!$AN$65="Moderado"),CONCATENATE("R2C",'Mapa final'!$U$65),"")</f>
        <v/>
      </c>
      <c r="X30" s="39" t="str">
        <f>IF(AND('Mapa final'!$AL$66="Alta",'Mapa final'!$AN$66="Moderado"),CONCATENATE("R2C",'Mapa final'!$U$66),"")</f>
        <v/>
      </c>
      <c r="Y30" s="39" t="str">
        <f>IF(AND('Mapa final'!$AL$67="Alta",'Mapa final'!$AN$67="Moderado"),CONCATENATE("R2C",'Mapa final'!$U$67),"")</f>
        <v/>
      </c>
      <c r="Z30" s="39" t="str">
        <f>IF(AND('Mapa final'!$AL$68="Alta",'Mapa final'!$AN$68="Moderado"),CONCATENATE("R2C",'Mapa final'!$U$68),"")</f>
        <v/>
      </c>
      <c r="AA30" s="39" t="str">
        <f>IF(AND('Mapa final'!$AL$69="Alta",'Mapa final'!$AN$69="Moderado"),CONCATENATE("R2C",'Mapa final'!$U$69),"")</f>
        <v/>
      </c>
      <c r="AB30" s="40" t="str">
        <f>IF(AND('Mapa final'!$AL$70="Alta",'Mapa final'!$AN$70="Moderado"),CONCATENATE("R2C",'Mapa final'!$U$70),"")</f>
        <v/>
      </c>
      <c r="AC30" s="38" t="str">
        <f>IF(AND('Mapa final'!$AL$65="Alta",'Mapa final'!$AN$65="Mayor"),CONCATENATE("R2C",'Mapa final'!$U$65),"")</f>
        <v/>
      </c>
      <c r="AD30" s="39" t="str">
        <f>IF(AND('Mapa final'!$AL$66="Alta",'Mapa final'!$AN$66="Mayor"),CONCATENATE("R2C",'Mapa final'!$U$66),"")</f>
        <v/>
      </c>
      <c r="AE30" s="39" t="str">
        <f>IF(AND('Mapa final'!$AL$67="Alta",'Mapa final'!$AN$67="Mayor"),CONCATENATE("R2C",'Mapa final'!$U$67),"")</f>
        <v/>
      </c>
      <c r="AF30" s="39" t="str">
        <f>IF(AND('Mapa final'!$AL$68="Alta",'Mapa final'!$AN$68="Mayor"),CONCATENATE("R2C",'Mapa final'!$U$68),"")</f>
        <v/>
      </c>
      <c r="AG30" s="39" t="str">
        <f>IF(AND('Mapa final'!$AL$69="Alta",'Mapa final'!$AN$69="Mayor"),CONCATENATE("R2C",'Mapa final'!$U$69),"")</f>
        <v/>
      </c>
      <c r="AH30" s="40" t="str">
        <f>IF(AND('Mapa final'!$AL$70="Alta",'Mapa final'!$AN$70="Mayor"),CONCATENATE("R2C",'Mapa final'!$U$70),"")</f>
        <v/>
      </c>
      <c r="AI30" s="41" t="str">
        <f>IF(AND('Mapa final'!$AL$65="Alta",'Mapa final'!$AN$65="Catastrófico"),CONCATENATE("R2C",'Mapa final'!$U$65),"")</f>
        <v/>
      </c>
      <c r="AJ30" s="42" t="str">
        <f>IF(AND('Mapa final'!$AL$66="Alta",'Mapa final'!$AN$66="Catastrófico"),CONCATENATE("R2C",'Mapa final'!$U$66),"")</f>
        <v/>
      </c>
      <c r="AK30" s="42" t="str">
        <f>IF(AND('Mapa final'!$AL$67="Alta",'Mapa final'!$AN$67="Catastrófico"),CONCATENATE("R2C",'Mapa final'!$U$67),"")</f>
        <v/>
      </c>
      <c r="AL30" s="42" t="str">
        <f>IF(AND('Mapa final'!$AL$68="Alta",'Mapa final'!$AN$68="Catastrófico"),CONCATENATE("R2C",'Mapa final'!$U$68),"")</f>
        <v/>
      </c>
      <c r="AM30" s="42" t="str">
        <f>IF(AND('Mapa final'!$AL$69="Alta",'Mapa final'!$AN$69="Catastrófico"),CONCATENATE("R2C",'Mapa final'!$U$69),"")</f>
        <v/>
      </c>
      <c r="AN30" s="43" t="str">
        <f>IF(AND('Mapa final'!$AL$70="Alta",'Mapa final'!$AN$70="Catastrófico"),CONCATENATE("R2C",'Mapa final'!$U$70),"")</f>
        <v/>
      </c>
      <c r="AO30" s="69"/>
      <c r="AP30" s="472"/>
      <c r="AQ30" s="473"/>
      <c r="AR30" s="473"/>
      <c r="AS30" s="473"/>
      <c r="AT30" s="473"/>
      <c r="AU30" s="474"/>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419"/>
      <c r="D31" s="419"/>
      <c r="E31" s="420"/>
      <c r="F31" s="465"/>
      <c r="G31" s="466"/>
      <c r="H31" s="466"/>
      <c r="I31" s="466"/>
      <c r="J31" s="466"/>
      <c r="K31" s="56" t="str">
        <f>IF(AND('Mapa final'!$AL$71="Alta",'Mapa final'!$AN$71="Leve"),CONCATENATE("R2C",'Mapa final'!$U$71),"")</f>
        <v/>
      </c>
      <c r="L31" s="57" t="str">
        <f>IF(AND('Mapa final'!$AL$72="Alta",'Mapa final'!$AN$72="Leve"),CONCATENATE("R2C",'Mapa final'!$U$72),"")</f>
        <v/>
      </c>
      <c r="M31" s="57" t="str">
        <f>IF(AND('Mapa final'!$AL$73="Alta",'Mapa final'!$AN$73="Leve"),CONCATENATE("R2C",'Mapa final'!$U$73),"")</f>
        <v/>
      </c>
      <c r="N31" s="57" t="str">
        <f>IF(AND('Mapa final'!$AL$74="Alta",'Mapa final'!$AN$74="Leve"),CONCATENATE("R2C",'Mapa final'!$U$74),"")</f>
        <v/>
      </c>
      <c r="O31" s="57" t="str">
        <f>IF(AND('Mapa final'!$AL$76="Alta",'Mapa final'!$AN$76="Leve"),CONCATENATE("R2C",'Mapa final'!$U$76),"")</f>
        <v/>
      </c>
      <c r="P31" s="58" t="str">
        <f>IF(AND('Mapa final'!$AL$77="Alta",'Mapa final'!$AN$77="Leve"),CONCATENATE("R2C",'Mapa final'!$U$77),"")</f>
        <v/>
      </c>
      <c r="Q31" s="56" t="str">
        <f>IF(AND('Mapa final'!$AL$71="Alta",'Mapa final'!$AN$71="Menor"),CONCATENATE("R2C",'Mapa final'!$U$71),"")</f>
        <v/>
      </c>
      <c r="R31" s="57" t="str">
        <f>IF(AND('Mapa final'!$AL$72="Alta",'Mapa final'!$AN$72="Menor"),CONCATENATE("R2C",'Mapa final'!$U$72),"")</f>
        <v/>
      </c>
      <c r="S31" s="57" t="str">
        <f>IF(AND('Mapa final'!$AL$73="Alta",'Mapa final'!$AN$73="Menor"),CONCATENATE("R2C",'Mapa final'!$U$73),"")</f>
        <v/>
      </c>
      <c r="T31" s="57" t="str">
        <f>IF(AND('Mapa final'!$AL$74="Alta",'Mapa final'!$AN$74="Menor"),CONCATENATE("R2C",'Mapa final'!$U$74),"")</f>
        <v/>
      </c>
      <c r="U31" s="57" t="str">
        <f>IF(AND('Mapa final'!$AL$76="Alta",'Mapa final'!$AN$76="Menor"),CONCATENATE("R2C",'Mapa final'!$U$76),"")</f>
        <v/>
      </c>
      <c r="V31" s="58" t="str">
        <f>IF(AND('Mapa final'!$AL$77="Alta",'Mapa final'!$AN$77="Menor"),CONCATENATE("R2C",'Mapa final'!$U$77),"")</f>
        <v/>
      </c>
      <c r="W31" s="44" t="str">
        <f>IF(AND('Mapa final'!$AL$71="Alta",'Mapa final'!$AN$71="Moderado"),CONCATENATE("R2C",'Mapa final'!$U$71),"")</f>
        <v/>
      </c>
      <c r="X31" s="45" t="str">
        <f>IF(AND('Mapa final'!$AL$72="Alta",'Mapa final'!$AN$72="Moderado"),CONCATENATE("R2C",'Mapa final'!$U$72),"")</f>
        <v/>
      </c>
      <c r="Y31" s="45" t="str">
        <f>IF(AND('Mapa final'!$AL$73="Alta",'Mapa final'!$AN$73="Moderado"),CONCATENATE("R2C",'Mapa final'!$U$73),"")</f>
        <v/>
      </c>
      <c r="Z31" s="45" t="str">
        <f>IF(AND('Mapa final'!$AL$74="Alta",'Mapa final'!$AN$74="Moderado"),CONCATENATE("R2C",'Mapa final'!$U$74),"")</f>
        <v/>
      </c>
      <c r="AA31" s="45" t="str">
        <f>IF(AND('Mapa final'!$AL$76="Alta",'Mapa final'!$AN$76="Moderado"),CONCATENATE("R2C",'Mapa final'!$U$76),"")</f>
        <v/>
      </c>
      <c r="AB31" s="46" t="str">
        <f>IF(AND('Mapa final'!$AL$77="Alta",'Mapa final'!$AN$77="Moderado"),CONCATENATE("R2C",'Mapa final'!$U$77),"")</f>
        <v/>
      </c>
      <c r="AC31" s="44" t="str">
        <f>IF(AND('Mapa final'!$AL$71="Alta",'Mapa final'!$AN$71="Mayor"),CONCATENATE("R2C",'Mapa final'!$U$71),"")</f>
        <v/>
      </c>
      <c r="AD31" s="45" t="str">
        <f>IF(AND('Mapa final'!$AL$72="Alta",'Mapa final'!$AN$72="Mayor"),CONCATENATE("R2C",'Mapa final'!$U$72),"")</f>
        <v/>
      </c>
      <c r="AE31" s="45" t="str">
        <f>IF(AND('Mapa final'!$AL$73="Alta",'Mapa final'!$AN$73="Mayor"),CONCATENATE("R2C",'Mapa final'!$U$73),"")</f>
        <v/>
      </c>
      <c r="AF31" s="45" t="str">
        <f>IF(AND('Mapa final'!$AL$74="Alta",'Mapa final'!$AN$74="Mayor"),CONCATENATE("R2C",'Mapa final'!$U$74),"")</f>
        <v/>
      </c>
      <c r="AG31" s="45" t="str">
        <f>IF(AND('Mapa final'!$AL$76="Alta",'Mapa final'!$AN$76="Mayor"),CONCATENATE("R2C",'Mapa final'!$U$76),"")</f>
        <v/>
      </c>
      <c r="AH31" s="46" t="str">
        <f>IF(AND('Mapa final'!$AL$77="Alta",'Mapa final'!$AN$77="Mayor"),CONCATENATE("R2C",'Mapa final'!$U$77),"")</f>
        <v/>
      </c>
      <c r="AI31" s="47" t="str">
        <f>IF(AND('Mapa final'!$AL$71="Alta",'Mapa final'!$AN$71="Catastrófico"),CONCATENATE("R2C",'Mapa final'!$U$71),"")</f>
        <v/>
      </c>
      <c r="AJ31" s="48" t="str">
        <f>IF(AND('Mapa final'!$AL$72="Alta",'Mapa final'!$AN$72="Catastrófico"),CONCATENATE("R2C",'Mapa final'!$U$72),"")</f>
        <v/>
      </c>
      <c r="AK31" s="48" t="str">
        <f>IF(AND('Mapa final'!$AL$73="Alta",'Mapa final'!$AN$73="Catastrófico"),CONCATENATE("R2C",'Mapa final'!$U$73),"")</f>
        <v/>
      </c>
      <c r="AL31" s="48" t="str">
        <f>IF(AND('Mapa final'!$AL$74="Alta",'Mapa final'!$AN$74="Catastrófico"),CONCATENATE("R2C",'Mapa final'!$U$74),"")</f>
        <v/>
      </c>
      <c r="AM31" s="48" t="str">
        <f>IF(AND('Mapa final'!$AL$76="Alta",'Mapa final'!$AN$76="Catastrófico"),CONCATENATE("R2C",'Mapa final'!$U$76),"")</f>
        <v/>
      </c>
      <c r="AN31" s="49" t="str">
        <f>IF(AND('Mapa final'!$AL$77="Muy Alta",'Mapa final'!$AN$77="Catastrófico"),CONCATENATE("R2C",'Mapa final'!$U$77),"")</f>
        <v/>
      </c>
      <c r="AO31" s="69"/>
      <c r="AP31" s="475"/>
      <c r="AQ31" s="476"/>
      <c r="AR31" s="476"/>
      <c r="AS31" s="476"/>
      <c r="AT31" s="476"/>
      <c r="AU31" s="477"/>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28.5" customHeight="1" x14ac:dyDescent="0.25">
      <c r="B32" s="69"/>
      <c r="C32" s="419"/>
      <c r="D32" s="419"/>
      <c r="E32" s="420"/>
      <c r="F32" s="459" t="s">
        <v>116</v>
      </c>
      <c r="G32" s="460"/>
      <c r="H32" s="460"/>
      <c r="I32" s="460"/>
      <c r="J32" s="461"/>
      <c r="K32" s="50" t="str">
        <f>IF(AND('Mapa final'!$AL$15="Media",'Mapa final'!$AN$15="Leve"),CONCATENATE("R2C",'Mapa final'!$U$15),"")</f>
        <v/>
      </c>
      <c r="L32" s="51" t="str">
        <f>IF(AND('Mapa final'!$AL$16="Media",'Mapa final'!$AN$16="Leve"),CONCATENATE("R2C",'Mapa final'!$U$16),"")</f>
        <v/>
      </c>
      <c r="M32" s="51" t="str">
        <f>IF(AND('Mapa final'!$AL$17="Media",'Mapa final'!$AN$17="Leve"),CONCATENATE("R2C",'Mapa final'!$U$17),"")</f>
        <v/>
      </c>
      <c r="N32" s="51" t="str">
        <f>IF(AND('Mapa final'!$AL$18="Media",'Mapa final'!$AN$18="Leve"),CONCATENATE("R2C",'Mapa final'!$U$18),"")</f>
        <v/>
      </c>
      <c r="O32" s="51" t="str">
        <f>IF(AND('Mapa final'!$AL$19="Media",'Mapa final'!$AN$19="Leve"),CONCATENATE("R2C",'Mapa final'!$U$19),"")</f>
        <v/>
      </c>
      <c r="P32" s="52" t="str">
        <f>IF(AND('Mapa final'!$AL$20="Media",'Mapa final'!$AN$20="Leve"),CONCATENATE("R2C",'Mapa final'!$U$20),"")</f>
        <v/>
      </c>
      <c r="Q32" s="50" t="str">
        <f>IF(AND('Mapa final'!$AL$15="Media",'Mapa final'!$AN$15="Menor"),CONCATENATE("R2C",'Mapa final'!$U$15),"")</f>
        <v/>
      </c>
      <c r="R32" s="51" t="str">
        <f>IF(AND('Mapa final'!$AL$16="Media",'Mapa final'!$AN$16="Menore"),CONCATENATE("R2C",'Mapa final'!$U$16),"")</f>
        <v/>
      </c>
      <c r="S32" s="51" t="str">
        <f>IF(AND('Mapa final'!$AL$17="Media",'Mapa final'!$AN$17="Menor"),CONCATENATE("R2C",'Mapa final'!$U$17),"")</f>
        <v/>
      </c>
      <c r="T32" s="51" t="str">
        <f>IF(AND('Mapa final'!$AL$18="Media",'Mapa final'!$AN$18="Menor"),CONCATENATE("R2C",'Mapa final'!$U$18),"")</f>
        <v/>
      </c>
      <c r="U32" s="51" t="str">
        <f>IF(AND('Mapa final'!$AL$19="Media",'Mapa final'!$AN$19="Menor"),CONCATENATE("R2C",'Mapa final'!$U$19),"")</f>
        <v/>
      </c>
      <c r="V32" s="52" t="str">
        <f>IF(AND('Mapa final'!$AL$20="Media",'Mapa final'!$AN$20="Menor"),CONCATENATE("R2C",'Mapa final'!$U$20),"")</f>
        <v/>
      </c>
      <c r="W32" s="50" t="str">
        <f>IF(AND('Mapa final'!$AL$15="Media",'Mapa final'!$AN$15="Moderado"),CONCATENATE("R2C",'Mapa final'!$U$15),"")</f>
        <v/>
      </c>
      <c r="X32" s="51" t="str">
        <f>IF(AND('Mapa final'!$AL$16="Media",'Mapa final'!$AN$16="Moderado"),CONCATENATE("R2C",'Mapa final'!$U$16),"")</f>
        <v/>
      </c>
      <c r="Y32" s="51"/>
      <c r="Z32" s="51" t="str">
        <f>IF(AND('Mapa final'!$AL$18="Media",'Mapa final'!$AN$18="Moderado"),CONCATENATE("R2C",'Mapa final'!$U$18),"")</f>
        <v/>
      </c>
      <c r="AA32" s="51" t="str">
        <f>IF(AND('Mapa final'!$AL$19="Media",'Mapa final'!$AN$19="Moderado"),CONCATENATE("R2C",'Mapa final'!$U$19),"")</f>
        <v/>
      </c>
      <c r="AB32" s="52" t="str">
        <f>IF(AND('Mapa final'!$AL$20="Media",'Mapa final'!$AN$20="Moderado"),CONCATENATE("R2C",'Mapa final'!$U$20),"")</f>
        <v/>
      </c>
      <c r="AC32" s="32" t="str">
        <f>IF(AND('Mapa final'!$AL$15="Media",'Mapa final'!$AN$15="Mayor"),CONCATENATE("R2C",'Mapa final'!$U$15),"")</f>
        <v/>
      </c>
      <c r="AD32" s="33" t="str">
        <f>IF(AND('Mapa final'!$AL$16="Media",'Mapa final'!$AN$16="Mayor"),CONCATENATE("R2C",'Mapa final'!$U$16),"")</f>
        <v/>
      </c>
      <c r="AE32" s="33" t="str">
        <f>IF(AND('Mapa final'!$AL$17="Media",'Mapa final'!$AN$17="Mayor"),CONCATENATE("R2C",'Mapa final'!$D$17),"")</f>
        <v/>
      </c>
      <c r="AF32" s="33" t="str">
        <f>IF(AND('Mapa final'!$AL$18="Media",'Mapa final'!$AN$18="Mayor"),CONCATENATE("R2C",'Mapa final'!$U$18),"")</f>
        <v/>
      </c>
      <c r="AG32" s="33" t="str">
        <f>IF(AND('Mapa final'!$AL$19="Media",'Mapa final'!$AN$19="Mayor"),CONCATENATE("R2C",'Mapa final'!$U$19),"")</f>
        <v/>
      </c>
      <c r="AH32" s="34" t="str">
        <f>IF(AND('Mapa final'!$AL$20="Media",'Mapa final'!$AN$20="Mayor"),CONCATENATE("R2C",'Mapa final'!$D$20),"")</f>
        <v>R2C3</v>
      </c>
      <c r="AI32" s="35" t="str">
        <f>IF(AND('Mapa final'!$AL$15="Media",'Mapa final'!$AN$15="Catastrófico"),CONCATENATE("R2C",'Mapa final'!$D$15),"")</f>
        <v>R2C1</v>
      </c>
      <c r="AJ32" s="36" t="str">
        <f>IF(AND('Mapa final'!$AL$16="Media",'Mapa final'!$AN$16="Catastrófico"),CONCATENATE("R2C",'Mapa final'!$U$16),"")</f>
        <v/>
      </c>
      <c r="AK32" s="36" t="str">
        <f>IF(AND('Mapa final'!$AL$17="Media",'Mapa final'!$AN$17="Catastrófico"),CONCATENATE("R2C",'Mapa final'!$U$17),"")</f>
        <v/>
      </c>
      <c r="AL32" s="36" t="str">
        <f>IF(AND('Mapa final'!$AL$18="Media",'Mapa final'!$AN$18="Catastrófico"),CONCATENATE("R2C",'Mapa final'!$U$18),"")</f>
        <v/>
      </c>
      <c r="AM32" s="36" t="str">
        <f>IF(AND('Mapa final'!$AL$19="Media",'Mapa final'!$AN$19="Catastrófico"),CONCATENATE("R2C",'Mapa final'!$U$19),"")</f>
        <v/>
      </c>
      <c r="AN32" s="37" t="str">
        <f>IF(AND('Mapa final'!$AL$20="Media",'Mapa final'!$AN$20="Catastrófico"),CONCATENATE("R2C",'Mapa final'!$U$20),"")</f>
        <v/>
      </c>
      <c r="AO32" s="69"/>
      <c r="AP32" s="500" t="s">
        <v>80</v>
      </c>
      <c r="AQ32" s="501"/>
      <c r="AR32" s="501"/>
      <c r="AS32" s="501"/>
      <c r="AT32" s="501"/>
      <c r="AU32" s="502"/>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419"/>
      <c r="D33" s="419"/>
      <c r="E33" s="420"/>
      <c r="F33" s="478"/>
      <c r="G33" s="463"/>
      <c r="H33" s="463"/>
      <c r="I33" s="463"/>
      <c r="J33" s="464"/>
      <c r="K33" s="53" t="str">
        <f>IF(AND('Mapa final'!$AL$23="Media",'Mapa final'!$AN$23="Leve"),CONCATENATE("R2C",'Mapa final'!$U$23),"")</f>
        <v/>
      </c>
      <c r="L33" s="54" t="str">
        <f>IF(AND('Mapa final'!$AL$24="Media",'Mapa final'!$AN$24="Leve"),CONCATENATE("R2C",'Mapa final'!$U$24),"")</f>
        <v/>
      </c>
      <c r="M33" s="54" t="str">
        <f>IF(AND('Mapa final'!$AL$25="Media",'Mapa final'!$AN$25="Leve"),CONCATENATE("R2C",'Mapa final'!$U$25),"")</f>
        <v/>
      </c>
      <c r="N33" s="54" t="str">
        <f>IF(AND('Mapa final'!$AL$26="Media",'Mapa final'!$AN$26="Leve"),CONCATENATE("R2C",'Mapa final'!$U$26),"")</f>
        <v/>
      </c>
      <c r="O33" s="54" t="str">
        <f>IF(AND('Mapa final'!$AL$27="Media",'Mapa final'!$AN$27="Leve"),CONCATENATE("R2C",'Mapa final'!$U$27),"")</f>
        <v/>
      </c>
      <c r="P33" s="55" t="str">
        <f>IF(AND('Mapa final'!$AL$28="Media",'Mapa final'!$AN$28="Leve"),CONCATENATE("R2C",'Mapa final'!$U$28),"")</f>
        <v/>
      </c>
      <c r="Q33" s="53" t="str">
        <f>IF(AND('Mapa final'!$AL$23="Media",'Mapa final'!$AN$23="Menor"),CONCATENATE("R2C",'Mapa final'!$U$23),"")</f>
        <v/>
      </c>
      <c r="R33" s="54" t="str">
        <f>IF(AND('Mapa final'!$AL$24="Media",'Mapa final'!$AN$24="Menor"),CONCATENATE("R2C",'Mapa final'!$U$24),"")</f>
        <v/>
      </c>
      <c r="S33" s="54" t="str">
        <f>IF(AND('Mapa final'!$AL$25="Media",'Mapa final'!$AN$25="Menor"),CONCATENATE("R2C",'Mapa final'!$U$25),"")</f>
        <v/>
      </c>
      <c r="T33" s="54" t="str">
        <f>IF(AND('Mapa final'!$AL$26="Media",'Mapa final'!$AN$26="Menor"),CONCATENATE("R2C",'Mapa final'!$U$26),"")</f>
        <v/>
      </c>
      <c r="U33" s="54" t="str">
        <f>IF(AND('Mapa final'!$AL$27="Media",'Mapa final'!$AN$27="Menor"),CONCATENATE("R2C",'Mapa final'!$U$27),"")</f>
        <v/>
      </c>
      <c r="V33" s="55" t="str">
        <f>IF(AND('Mapa final'!$AL$28="Media",'Mapa final'!$AN$28="Menor"),CONCATENATE("R2C",'Mapa final'!$U$28),"")</f>
        <v/>
      </c>
      <c r="W33" s="53" t="str">
        <f>IF(AND('Mapa final'!$AL$23="Media",'Mapa final'!$AN$23="Moderado"),CONCATENATE("R2C",'Mapa final'!$U$23),"")</f>
        <v/>
      </c>
      <c r="X33" s="54" t="str">
        <f>IF(AND('Mapa final'!$AL$24="Media",'Mapa final'!$AN$24="Moderado"),CONCATENATE("R2C",'Mapa final'!$U$24),"")</f>
        <v/>
      </c>
      <c r="Y33" s="54" t="str">
        <f>IF(AND('Mapa final'!$AL$25="Media",'Mapa final'!$AN$25="Moderado"),CONCATENATE("R2C",'Mapa final'!$U$25),"")</f>
        <v/>
      </c>
      <c r="Z33" s="54" t="str">
        <f>IF(AND('Mapa final'!$AL$26="Media",'Mapa final'!$AN$26="Moderado"),CONCATENATE("R2C",'Mapa final'!$U$26),"")</f>
        <v/>
      </c>
      <c r="AA33" s="54" t="str">
        <f>IF(AND('Mapa final'!$AL$27="Media",'Mapa final'!$AN$27="Moderado"),CONCATENATE("R2C",'Mapa final'!$U$27),"")</f>
        <v/>
      </c>
      <c r="AB33" s="55" t="str">
        <f>IF(AND('Mapa final'!$AL$28="Media",'Mapa final'!$AN$28="Moderado"),CONCATENATE("R2C",'Mapa final'!$U$28),"")</f>
        <v/>
      </c>
      <c r="AC33" s="38" t="str">
        <f>IF(AND('Mapa final'!$AL$23="Media",'Mapa final'!$AN$23="Mayor"),CONCATENATE("R2C",'Mapa final'!$U$23),"")</f>
        <v/>
      </c>
      <c r="AD33" s="39" t="str">
        <f>IF(AND('Mapa final'!$AL$24="Muy Alta",'Mapa final'!$AN$24="Mayor"),CONCATENATE("R2C",'Mapa final'!$U$24),"")</f>
        <v/>
      </c>
      <c r="AE33" s="39" t="str">
        <f>IF(AND('Mapa final'!$AL$25="Media",'Mapa final'!$AN$25="Mayor"),CONCATENATE("R2C",'Mapa final'!$U$25),"")</f>
        <v/>
      </c>
      <c r="AF33" s="39" t="str">
        <f>IF(AND('Mapa final'!$AL$26="Media",'Mapa final'!$AN$26="Mayor"),CONCATENATE("R2C",'Mapa final'!$U$26),"")</f>
        <v/>
      </c>
      <c r="AG33" s="39" t="str">
        <f>IF(AND('Mapa final'!$AL$27="Media",'Mapa final'!$AN$27="Mayor"),CONCATENATE("R2C",'Mapa final'!$U$27),"")</f>
        <v/>
      </c>
      <c r="AH33" s="40" t="str">
        <f>IF(AND('Mapa final'!$AL$28="Media",'Mapa final'!$AN$28="Mayor"),CONCATENATE("R2C",'Mapa final'!$U$28),"")</f>
        <v/>
      </c>
      <c r="AI33" s="41" t="str">
        <f>IF(AND('Mapa final'!$AL$21="Media",'Mapa final'!$AN$21="Catastrófico"),CONCATENATE("R2C",'Mapa final'!$D$21),"")</f>
        <v>R2C4</v>
      </c>
      <c r="AJ33" s="42" t="str">
        <f>IF(AND('Mapa final'!$AL$23="Media",'Mapa final'!$AN$23="Catastrófico"),CONCATENATE("R2C",'Mapa final'!$D$23),"")</f>
        <v>R2C5</v>
      </c>
      <c r="AK33" s="42" t="str">
        <f>IF(AND('Mapa final'!$AL$25="Media",'Mapa final'!$AN$25="Catastrófico"),CONCATENATE("R2C",'Mapa final'!$U$25),"")</f>
        <v/>
      </c>
      <c r="AL33" s="42" t="str">
        <f>IF(AND('Mapa final'!$AL$26="Media",'Mapa final'!$AN$26="Catastrófico"),CONCATENATE("R2C",'Mapa final'!$U$26),"")</f>
        <v/>
      </c>
      <c r="AM33" s="42" t="str">
        <f>IF(AND('Mapa final'!$AL$27="Media",'Mapa final'!$AN$27="Catastrófico"),CONCATENATE("R2C",'Mapa final'!$U$27),"")</f>
        <v/>
      </c>
      <c r="AN33" s="43" t="str">
        <f>IF(AND('Mapa final'!$AL$28="Media",'Mapa final'!$AN$28="Catastrófico"),CONCATENATE("R2C",'Mapa final'!$U$28),"")</f>
        <v/>
      </c>
      <c r="AO33" s="69"/>
      <c r="AP33" s="503"/>
      <c r="AQ33" s="504"/>
      <c r="AR33" s="504"/>
      <c r="AS33" s="504"/>
      <c r="AT33" s="504"/>
      <c r="AU33" s="505"/>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419"/>
      <c r="D34" s="419"/>
      <c r="E34" s="420"/>
      <c r="F34" s="462"/>
      <c r="G34" s="463"/>
      <c r="H34" s="463"/>
      <c r="I34" s="463"/>
      <c r="J34" s="464"/>
      <c r="K34" s="53" t="str">
        <f>IF(AND('Mapa final'!$AL$29="Media",'Mapa final'!$AN$29="Leve"),CONCATENATE("R2C",'Mapa final'!$U$29),"")</f>
        <v/>
      </c>
      <c r="L34" s="54" t="str">
        <f>IF(AND('Mapa final'!$AL$30="Media",'Mapa final'!$AN$30="Leve"),CONCATENATE("R2C",'Mapa final'!$U$30),"")</f>
        <v/>
      </c>
      <c r="M34" s="54" t="str">
        <f>IF(AND('Mapa final'!$AL$31="Media",'Mapa final'!$AN$31="Leve"),CONCATENATE("R2C",'Mapa final'!$U$31),"")</f>
        <v/>
      </c>
      <c r="N34" s="54" t="str">
        <f>IF(AND('Mapa final'!$AL$32="Media",'Mapa final'!$AN$32="Leve"),CONCATENATE("R2C",'Mapa final'!$U$32),"")</f>
        <v/>
      </c>
      <c r="O34" s="54" t="str">
        <f>IF(AND('Mapa final'!$AL$33="Media",'Mapa final'!$AN$33="Leve"),CONCATENATE("R2C",'Mapa final'!$U$33),"")</f>
        <v/>
      </c>
      <c r="P34" s="55" t="str">
        <f>IF(AND('Mapa final'!$AL$34="Media",'Mapa final'!$AN$34="Leve"),CONCATENATE("R2C",'Mapa final'!$U$34),"")</f>
        <v/>
      </c>
      <c r="Q34" s="53" t="str">
        <f>IF(AND('Mapa final'!$AL$29="Media",'Mapa final'!$AN$29="Menor"),CONCATENATE("R2C",'Mapa final'!$U$29),"")</f>
        <v/>
      </c>
      <c r="R34" s="54" t="str">
        <f>IF(AND('Mapa final'!$AL$30="Media",'Mapa final'!$AN$30="Menor"),CONCATENATE("R2C",'Mapa final'!$U$30),"")</f>
        <v/>
      </c>
      <c r="S34" s="54" t="str">
        <f>IF(AND('Mapa final'!$AL$31="Media",'Mapa final'!$AN$31="Menor"),CONCATENATE("R2C",'Mapa final'!$U$31),"")</f>
        <v/>
      </c>
      <c r="T34" s="54" t="str">
        <f>IF(AND('Mapa final'!$AL$32="Media",'Mapa final'!$AN$32="Menor"),CONCATENATE("R2C",'Mapa final'!$U$32),"")</f>
        <v/>
      </c>
      <c r="U34" s="54" t="str">
        <f>IF(AND('Mapa final'!$AL$33="Media",'Mapa final'!$AN$33="Menor"),CONCATENATE("R2C",'Mapa final'!$U$33),"")</f>
        <v/>
      </c>
      <c r="V34" s="55" t="str">
        <f>IF(AND('Mapa final'!$AL$34="Media",'Mapa final'!$AN$34="Menor"),CONCATENATE("R2C",'Mapa final'!$U$34),"")</f>
        <v/>
      </c>
      <c r="W34" s="53" t="str">
        <f>IF(AND('Mapa final'!$AL$29="Media",'Mapa final'!$AN$29="Moderado"),CONCATENATE("R2C",'Mapa final'!$U$29),"")</f>
        <v/>
      </c>
      <c r="X34" s="54" t="str">
        <f>IF(AND('Mapa final'!$AL$30="Media",'Mapa final'!$AN$30="Moderado"),CONCATENATE("R2C",'Mapa final'!$U$30),"")</f>
        <v/>
      </c>
      <c r="Y34" s="54" t="str">
        <f>IF(AND('Mapa final'!$AL$31="Media",'Mapa final'!$AN$31="Moderado"),CONCATENATE("R2C",'Mapa final'!$U$31),"")</f>
        <v/>
      </c>
      <c r="Z34" s="54" t="str">
        <f>IF(AND('Mapa final'!$AL$32="Media",'Mapa final'!$AN$32="Moderado"),CONCATENATE("R2C",'Mapa final'!$U$32),"")</f>
        <v/>
      </c>
      <c r="AA34" s="54" t="str">
        <f>IF(AND('Mapa final'!$AL$33="Media",'Mapa final'!$AN$33="Moderado"),CONCATENATE("R2C",'Mapa final'!$U$33),"")</f>
        <v/>
      </c>
      <c r="AB34" s="55" t="str">
        <f>IF(AND('Mapa final'!$AL$34="Media",'Mapa final'!$AN$34="Moderado"),CONCATENATE("R2C",'Mapa final'!$U$34),"")</f>
        <v/>
      </c>
      <c r="AC34" s="38" t="str">
        <f>IF(AND('Mapa final'!$AL$29="Media",'Mapa final'!$AN$29="Mayor"),CONCATENATE("R2C",'Mapa final'!$U$29),"")</f>
        <v/>
      </c>
      <c r="AD34" s="39" t="str">
        <f>IF(AND('Mapa final'!$AL$30="Media",'Mapa final'!$AN$30="Mayor"),CONCATENATE("R2C",'Mapa final'!$U$30),"")</f>
        <v/>
      </c>
      <c r="AE34" s="39" t="str">
        <f>IF(AND('Mapa final'!$AL$31="Media",'Mapa final'!$AN$31="Mayor"),CONCATENATE("R2C",'Mapa final'!$U$31),"")</f>
        <v/>
      </c>
      <c r="AF34" s="39" t="str">
        <f>IF(AND('Mapa final'!$AL$32="Media",'Mapa final'!$AN$32="Mayor"),CONCATENATE("R2C",'Mapa final'!$U$32),"")</f>
        <v/>
      </c>
      <c r="AG34" s="39" t="str">
        <f>IF(AND('Mapa final'!$AL$33="Media",'Mapa final'!$AN$33="Mayor"),CONCATENATE("R2C",'Mapa final'!$U$33),"")</f>
        <v/>
      </c>
      <c r="AH34" s="40" t="str">
        <f>IF(AND('Mapa final'!$AL$34="Media",'Mapa final'!$AN$34="Mayor"),CONCATENATE("R2C",'Mapa final'!$U$34),"")</f>
        <v/>
      </c>
      <c r="AI34" s="41" t="str">
        <f>IF(AND('Mapa final'!$AL$29="Media",'Mapa final'!$AN$29="Catastrófico"),CONCATENATE("R2C",'Mapa final'!$U$29),"")</f>
        <v/>
      </c>
      <c r="AJ34" s="42" t="str">
        <f>IF(AND('Mapa final'!$AL$30="Media",'Mapa final'!$AN$30="Catastrófico"),CONCATENATE("R2C",'Mapa final'!$U$30),"")</f>
        <v/>
      </c>
      <c r="AK34" s="42" t="str">
        <f>IF(AND('Mapa final'!$AL$31="Media",'Mapa final'!$AN$31="Catastrófico"),CONCATENATE("R2C",'Mapa final'!$U$31),"")</f>
        <v/>
      </c>
      <c r="AL34" s="42" t="str">
        <f>IF(AND('Mapa final'!$AL$32="Media",'Mapa final'!$AN$32="Catastrófico"),CONCATENATE("R2C",'Mapa final'!$U$32),"")</f>
        <v/>
      </c>
      <c r="AM34" s="42" t="str">
        <f>IF(AND('Mapa final'!$AL$33="Media",'Mapa final'!$AN$33="Catastrófico"),CONCATENATE("R2C",'Mapa final'!$U$33),"")</f>
        <v/>
      </c>
      <c r="AN34" s="43" t="str">
        <f>IF(AND('Mapa final'!$AL$34="Media",'Mapa final'!$AN$34="Catastrófico"),CONCATENATE("R2C",'Mapa final'!$U$34),"")</f>
        <v/>
      </c>
      <c r="AO34" s="69"/>
      <c r="AP34" s="503"/>
      <c r="AQ34" s="504"/>
      <c r="AR34" s="504"/>
      <c r="AS34" s="504"/>
      <c r="AT34" s="504"/>
      <c r="AU34" s="505"/>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419"/>
      <c r="D35" s="419"/>
      <c r="E35" s="420"/>
      <c r="F35" s="462"/>
      <c r="G35" s="463"/>
      <c r="H35" s="463"/>
      <c r="I35" s="463"/>
      <c r="J35" s="464"/>
      <c r="K35" s="53" t="str">
        <f>IF(AND('Mapa final'!$AL$35="Media",'Mapa final'!$AN$35="Leve"),CONCATENATE("R2C",'Mapa final'!$U$35),"")</f>
        <v/>
      </c>
      <c r="L35" s="54" t="str">
        <f>IF(AND('Mapa final'!$AL$36="Media",'Mapa final'!$AN$36="Leve"),CONCATENATE("R2C",'Mapa final'!$U$36),"")</f>
        <v/>
      </c>
      <c r="M35" s="54" t="str">
        <f>IF(AND('Mapa final'!$AL$37="Media",'Mapa final'!$AN$37="Leve"),CONCATENATE("R2C",'Mapa final'!$U$37),"")</f>
        <v/>
      </c>
      <c r="N35" s="54" t="str">
        <f>IF(AND('Mapa final'!$AL$38="Media",'Mapa final'!$AN$38="Leve"),CONCATENATE("R2C",'Mapa final'!$U$38),"")</f>
        <v/>
      </c>
      <c r="O35" s="54" t="str">
        <f>IF(AND('Mapa final'!$AL$39="Media",'Mapa final'!$AN$39="Leve"),CONCATENATE("R2C",'Mapa final'!$U$39),"")</f>
        <v/>
      </c>
      <c r="P35" s="55" t="str">
        <f>IF(AND('Mapa final'!$AL$40="Media",'Mapa final'!$AN$40="Leve"),CONCATENATE("R2C",'Mapa final'!$U$40),"")</f>
        <v/>
      </c>
      <c r="Q35" s="53" t="str">
        <f>IF(AND('Mapa final'!$AL$35="Media",'Mapa final'!$AN$35="Menor"),CONCATENATE("R2C",'Mapa final'!$U$35),"")</f>
        <v/>
      </c>
      <c r="R35" s="54" t="str">
        <f>IF(AND('Mapa final'!$AL$36="Media",'Mapa final'!$AN$36="Menor"),CONCATENATE("R2C",'Mapa final'!$U$36),"")</f>
        <v/>
      </c>
      <c r="S35" s="54" t="str">
        <f>IF(AND('Mapa final'!$AL$37="Media",'Mapa final'!$AN$37="Menor"),CONCATENATE("R2C",'Mapa final'!$U$37),"")</f>
        <v/>
      </c>
      <c r="T35" s="54" t="str">
        <f>IF(AND('Mapa final'!$AL$38="Media",'Mapa final'!$AN$38="Menor"),CONCATENATE("R2C",'Mapa final'!$U$38),"")</f>
        <v/>
      </c>
      <c r="U35" s="54" t="str">
        <f>IF(AND('Mapa final'!$AL$39="Media",'Mapa final'!$AN$39="LMenor"),CONCATENATE("R2C",'Mapa final'!$U$39),"")</f>
        <v/>
      </c>
      <c r="V35" s="55" t="str">
        <f>IF(AND('Mapa final'!$AL$40="Media",'Mapa final'!$AN$40="Menor"),CONCATENATE("R2C",'Mapa final'!$U$40),"")</f>
        <v/>
      </c>
      <c r="W35" s="53" t="str">
        <f>IF(AND('Mapa final'!$AL$35="Media",'Mapa final'!$AN$35="Moderado"),CONCATENATE("R2C",'Mapa final'!$U$35),"")</f>
        <v/>
      </c>
      <c r="X35" s="54" t="str">
        <f>IF(AND('Mapa final'!$AL$36="Media",'Mapa final'!$AN$36="Moderado"),CONCATENATE("R2C",'Mapa final'!$U$36),"")</f>
        <v/>
      </c>
      <c r="Y35" s="54" t="str">
        <f>IF(AND('Mapa final'!$AL$37="Media",'Mapa final'!$AN$37="Moderado"),CONCATENATE("R2C",'Mapa final'!$U$37),"")</f>
        <v/>
      </c>
      <c r="Z35" s="54" t="str">
        <f>IF(AND('Mapa final'!$AL$38="Media",'Mapa final'!$AN$38="Moderado"),CONCATENATE("R2C",'Mapa final'!$U$38),"")</f>
        <v/>
      </c>
      <c r="AA35" s="54" t="str">
        <f>IF(AND('Mapa final'!$AL$39="Media",'Mapa final'!$AN$39="Moderado"),CONCATENATE("R2C",'Mapa final'!$U$39),"")</f>
        <v/>
      </c>
      <c r="AB35" s="55" t="str">
        <f>IF(AND('Mapa final'!$AL$40="Media",'Mapa final'!$AN$40="Moderado"),CONCATENATE("R2C",'Mapa final'!$U$40),"")</f>
        <v/>
      </c>
      <c r="AC35" s="38" t="str">
        <f>IF(AND('Mapa final'!$AL$35="Media",'Mapa final'!$AN$35="Mayor"),CONCATENATE("R2C",'Mapa final'!$U$35),"")</f>
        <v/>
      </c>
      <c r="AD35" s="39" t="str">
        <f>IF(AND('Mapa final'!$AL$36="Media",'Mapa final'!$AN$36="Mayor"),CONCATENATE("R2C",'Mapa final'!$U$36),"")</f>
        <v/>
      </c>
      <c r="AE35" s="39" t="str">
        <f>IF(AND('Mapa final'!$AL$37="Media",'Mapa final'!$AN$37="Mayor"),CONCATENATE("R2C",'Mapa final'!$U$37),"")</f>
        <v/>
      </c>
      <c r="AF35" s="39" t="str">
        <f>IF(AND('Mapa final'!$AL$38="Media",'Mapa final'!$AN$38="Mayor"),CONCATENATE("R2C",'Mapa final'!$U$38),"")</f>
        <v/>
      </c>
      <c r="AG35" s="39" t="str">
        <f>IF(AND('Mapa final'!$AL$39="Media",'Mapa final'!$AN$39="Mayor"),CONCATENATE("R2C",'Mapa final'!$U$39),"")</f>
        <v/>
      </c>
      <c r="AH35" s="40" t="str">
        <f>IF(AND('Mapa final'!$AL$40="Media",'Mapa final'!$AN$40="Mayor"),CONCATENATE("R2C",'Mapa final'!$U$40),"")</f>
        <v/>
      </c>
      <c r="AI35" s="41" t="str">
        <f>IF(AND('Mapa final'!$AL$35="Media",'Mapa final'!$AN$35="Catastrófico"),CONCATENATE("R2C",'Mapa final'!$U$35),"")</f>
        <v/>
      </c>
      <c r="AJ35" s="42" t="str">
        <f>IF(AND('Mapa final'!$AL$36="Media",'Mapa final'!$AN$36="Catastrófico"),CONCATENATE("R2C",'Mapa final'!$U$36),"")</f>
        <v/>
      </c>
      <c r="AK35" s="42" t="str">
        <f>IF(AND('Mapa final'!$AL$37="Media",'Mapa final'!$AN$37="Catastrófico"),CONCATENATE("R2C",'Mapa final'!$U$37),"")</f>
        <v/>
      </c>
      <c r="AL35" s="42" t="str">
        <f>IF(AND('Mapa final'!$AL$38="Media",'Mapa final'!$AN$38="Catastrófico"),CONCATENATE("R2C",'Mapa final'!$U$38),"")</f>
        <v/>
      </c>
      <c r="AM35" s="42" t="str">
        <f>IF(AND('Mapa final'!$AL$39="Media",'Mapa final'!$AN$39="LCatastrófico"),CONCATENATE("R2C",'Mapa final'!$U$39),"")</f>
        <v/>
      </c>
      <c r="AN35" s="43" t="str">
        <f>IF(AND('Mapa final'!$AL$40="Media",'Mapa final'!$AN$40="Catastrófico"),CONCATENATE("R2C",'Mapa final'!$U$40),"")</f>
        <v/>
      </c>
      <c r="AO35" s="69"/>
      <c r="AP35" s="503"/>
      <c r="AQ35" s="504"/>
      <c r="AR35" s="504"/>
      <c r="AS35" s="504"/>
      <c r="AT35" s="504"/>
      <c r="AU35" s="505"/>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419"/>
      <c r="D36" s="419"/>
      <c r="E36" s="420"/>
      <c r="F36" s="462"/>
      <c r="G36" s="463"/>
      <c r="H36" s="463"/>
      <c r="I36" s="463"/>
      <c r="J36" s="464"/>
      <c r="K36" s="53" t="str">
        <f>IF(AND('Mapa final'!$AL$41="Media",'Mapa final'!$AN$41="Leve"),CONCATENATE("R2C",'Mapa final'!$U$41),"")</f>
        <v/>
      </c>
      <c r="L36" s="54" t="str">
        <f>IF(AND('Mapa final'!$AL$42="Media",'Mapa final'!$AN$42="Leve"),CONCATENATE("R2C",'Mapa final'!$U$42),"")</f>
        <v/>
      </c>
      <c r="M36" s="54" t="str">
        <f>IF(AND('Mapa final'!$AL$43="Media",'Mapa final'!$AN$43="Leve"),CONCATENATE("R2C",'Mapa final'!$U$43),"")</f>
        <v/>
      </c>
      <c r="N36" s="54" t="str">
        <f>IF(AND('Mapa final'!$AL$44="Media",'Mapa final'!$AN$44="Leve"),CONCATENATE("R2C",'Mapa final'!$U$44),"")</f>
        <v/>
      </c>
      <c r="O36" s="54" t="str">
        <f>IF(AND('Mapa final'!$AL$45="Media",'Mapa final'!$AN$45="Leve"),CONCATENATE("R2C",'Mapa final'!$U$45),"")</f>
        <v/>
      </c>
      <c r="P36" s="55" t="str">
        <f>IF(AND('Mapa final'!$AL$46="Media",'Mapa final'!$AN$46="Leve"),CONCATENATE("R2C",'Mapa final'!$U$46),"")</f>
        <v/>
      </c>
      <c r="Q36" s="53" t="str">
        <f>IF(AND('Mapa final'!$AL$41="Media",'Mapa final'!$AN$41="Menor"),CONCATENATE("R2C",'Mapa final'!$U$41),"")</f>
        <v/>
      </c>
      <c r="R36" s="54" t="str">
        <f>IF(AND('Mapa final'!$AL$42="Media",'Mapa final'!$AN$42="Menor"),CONCATENATE("R2C",'Mapa final'!$U$42),"")</f>
        <v/>
      </c>
      <c r="S36" s="54" t="str">
        <f>IF(AND('Mapa final'!$AL$43="Media",'Mapa final'!$AN$43="Menor"),CONCATENATE("R2C",'Mapa final'!$U$43),"")</f>
        <v/>
      </c>
      <c r="T36" s="54" t="str">
        <f>IF(AND('Mapa final'!$AL$44="Media",'Mapa final'!$AN$44="Menor"),CONCATENATE("R2C",'Mapa final'!$U$44),"")</f>
        <v/>
      </c>
      <c r="U36" s="54" t="str">
        <f>IF(AND('Mapa final'!$AL$45="Media",'Mapa final'!$AN$45="Menor"),CONCATENATE("R2C",'Mapa final'!$U$45),"")</f>
        <v/>
      </c>
      <c r="V36" s="55" t="str">
        <f>IF(AND('Mapa final'!$AL$46="Media",'Mapa final'!$AN$46="Menor"),CONCATENATE("R2C",'Mapa final'!$U$46),"")</f>
        <v/>
      </c>
      <c r="W36" s="53" t="str">
        <f>IF(AND('Mapa final'!$AL$41="Media",'Mapa final'!$AN$41="Moderado"),CONCATENATE("R2C",'Mapa final'!$U$41),"")</f>
        <v/>
      </c>
      <c r="X36" s="54" t="str">
        <f>IF(AND('Mapa final'!$AL$42="Media",'Mapa final'!$AN$42="Moderado"),CONCATENATE("R2C",'Mapa final'!$U$42),"")</f>
        <v/>
      </c>
      <c r="Y36" s="54" t="str">
        <f>IF(AND('Mapa final'!$AL$43="Media",'Mapa final'!$AN$43="Moderado"),CONCATENATE("R2C",'Mapa final'!$U$43),"")</f>
        <v/>
      </c>
      <c r="Z36" s="54" t="str">
        <f>IF(AND('Mapa final'!$AL$44="Media",'Mapa final'!$AN$44="Moderado"),CONCATENATE("R2C",'Mapa final'!$U$44),"")</f>
        <v/>
      </c>
      <c r="AA36" s="54" t="str">
        <f>IF(AND('Mapa final'!$AL$45="Media",'Mapa final'!$AN$45="Moderado"),CONCATENATE("R2C",'Mapa final'!$U$45),"")</f>
        <v/>
      </c>
      <c r="AB36" s="55" t="str">
        <f>IF(AND('Mapa final'!$AL$46="Media",'Mapa final'!$AN$46="Moderado"),CONCATENATE("R2C",'Mapa final'!$U$46),"")</f>
        <v/>
      </c>
      <c r="AC36" s="38" t="str">
        <f>IF(AND('Mapa final'!$AL$41="Media",'Mapa final'!$AN$41="Mayor"),CONCATENATE("R2C",'Mapa final'!$U$41),"")</f>
        <v/>
      </c>
      <c r="AD36" s="39" t="str">
        <f>IF(AND('Mapa final'!$AL$42="Media",'Mapa final'!$AN$42="Mayor"),CONCATENATE("R2C",'Mapa final'!$U$42),"")</f>
        <v/>
      </c>
      <c r="AE36" s="39" t="str">
        <f>IF(AND('Mapa final'!$AL$43="Media",'Mapa final'!$AN$43="Mayor"),CONCATENATE("R2C",'Mapa final'!$U$43),"")</f>
        <v/>
      </c>
      <c r="AF36" s="39" t="str">
        <f>IF(AND('Mapa final'!$AL$44="Media",'Mapa final'!$AN$44="Mayor"),CONCATENATE("R2C",'Mapa final'!$U$44),"")</f>
        <v/>
      </c>
      <c r="AG36" s="39" t="str">
        <f>IF(AND('Mapa final'!$AL$45="Media",'Mapa final'!$AN$45="Mayor"),CONCATENATE("R2C",'Mapa final'!$U$45),"")</f>
        <v/>
      </c>
      <c r="AH36" s="40" t="str">
        <f>IF(AND('Mapa final'!$AL$46="Media",'Mapa final'!$AN$46="Mayor"),CONCATENATE("R2C",'Mapa final'!$U$46),"")</f>
        <v/>
      </c>
      <c r="AI36" s="41" t="str">
        <f>IF(AND('Mapa final'!$AL$41="Media",'Mapa final'!$AN$41="Catastrófico"),CONCATENATE("R2C",'Mapa final'!$U$41),"")</f>
        <v/>
      </c>
      <c r="AJ36" s="42" t="str">
        <f>IF(AND('Mapa final'!$AL$42="Media",'Mapa final'!$AN$42="Catastrófico"),CONCATENATE("R2C",'Mapa final'!$U$42),"")</f>
        <v/>
      </c>
      <c r="AK36" s="42" t="str">
        <f>IF(AND('Mapa final'!$AL$43="Media",'Mapa final'!$AN$43="Catastrófico"),CONCATENATE("R2C",'Mapa final'!$U$43),"")</f>
        <v/>
      </c>
      <c r="AL36" s="42" t="str">
        <f>IF(AND('Mapa final'!$AL$44="Media",'Mapa final'!$AN$44="Catastrófico"),CONCATENATE("R2C",'Mapa final'!$U$44),"")</f>
        <v/>
      </c>
      <c r="AM36" s="42" t="str">
        <f>IF(AND('Mapa final'!$AL$45="Media",'Mapa final'!$AN$45="Catastrófico"),CONCATENATE("R2C",'Mapa final'!$U$45),"")</f>
        <v/>
      </c>
      <c r="AN36" s="43" t="str">
        <f>IF(AND('Mapa final'!$AL$46="Media",'Mapa final'!$AN$46="Catastrófico"),CONCATENATE("R2C",'Mapa final'!$U$46),"")</f>
        <v/>
      </c>
      <c r="AO36" s="69"/>
      <c r="AP36" s="503"/>
      <c r="AQ36" s="504"/>
      <c r="AR36" s="504"/>
      <c r="AS36" s="504"/>
      <c r="AT36" s="504"/>
      <c r="AU36" s="505"/>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419"/>
      <c r="D37" s="419"/>
      <c r="E37" s="420"/>
      <c r="F37" s="462"/>
      <c r="G37" s="463"/>
      <c r="H37" s="463"/>
      <c r="I37" s="463"/>
      <c r="J37" s="464"/>
      <c r="K37" s="53" t="str">
        <f>IF(AND('Mapa final'!$AL$47="Media",'Mapa final'!$AN$47="Leve"),CONCATENATE("R2C",'Mapa final'!$U$47),"")</f>
        <v/>
      </c>
      <c r="L37" s="54" t="str">
        <f>IF(AND('Mapa final'!$AL$48="Media",'Mapa final'!$AN$48="Leve"),CONCATENATE("R2C",'Mapa final'!$U$48),"")</f>
        <v/>
      </c>
      <c r="M37" s="54" t="str">
        <f>IF(AND('Mapa final'!$AL$49="Media",'Mapa final'!$AN$49="Leve"),CONCATENATE("R2C",'Mapa final'!$U$49),"")</f>
        <v/>
      </c>
      <c r="N37" s="54" t="str">
        <f>IF(AND('Mapa final'!$AL$50="Media",'Mapa final'!$AN$50="Leve"),CONCATENATE("R2C",'Mapa final'!$U$50),"")</f>
        <v/>
      </c>
      <c r="O37" s="54" t="str">
        <f>IF(AND('Mapa final'!$AL$51="Media",'Mapa final'!$AN$51="Leve"),CONCATENATE("R2C",'Mapa final'!$U$51),"")</f>
        <v/>
      </c>
      <c r="P37" s="55" t="str">
        <f>IF(AND('Mapa final'!$AL$62="Media",'Mapa final'!$AN$52="Leve"),CONCATENATE("R2C",'Mapa final'!$U$52),"")</f>
        <v/>
      </c>
      <c r="Q37" s="53" t="str">
        <f>IF(AND('Mapa final'!$AL$47="Media",'Mapa final'!$AN$47="Menor"),CONCATENATE("R2C",'Mapa final'!$U$47),"")</f>
        <v/>
      </c>
      <c r="R37" s="54" t="str">
        <f>IF(AND('Mapa final'!$AL$48="Media",'Mapa final'!$AN$48="Menor"),CONCATENATE("R2C",'Mapa final'!$U$48),"")</f>
        <v/>
      </c>
      <c r="S37" s="54" t="str">
        <f>IF(AND('Mapa final'!$AL$49="Media",'Mapa final'!$AN$49="Menor"),CONCATENATE("R2C",'Mapa final'!$U$49),"")</f>
        <v/>
      </c>
      <c r="T37" s="54" t="str">
        <f>IF(AND('Mapa final'!$AL$50="Media",'Mapa final'!$AN$50="Menor"),CONCATENATE("R2C",'Mapa final'!$U$50),"")</f>
        <v/>
      </c>
      <c r="U37" s="54" t="str">
        <f>IF(AND('Mapa final'!$AL$51="Media",'Mapa final'!$AN$51="Menor"),CONCATENATE("R2C",'Mapa final'!$U$51),"")</f>
        <v/>
      </c>
      <c r="V37" s="55" t="str">
        <f>IF(AND('Mapa final'!$AL$62="Media",'Mapa final'!$AN$52="Menor"),CONCATENATE("R2C",'Mapa final'!$U$52),"")</f>
        <v/>
      </c>
      <c r="W37" s="53" t="str">
        <f>IF(AND('Mapa final'!$AL$47="Media",'Mapa final'!$AN$47="Moderado"),CONCATENATE("R2C",'Mapa final'!$U$47),"")</f>
        <v/>
      </c>
      <c r="X37" s="54" t="str">
        <f>IF(AND('Mapa final'!$AL$48="Media",'Mapa final'!$AN$48="Moderado"),CONCATENATE("R2C",'Mapa final'!$U$48),"")</f>
        <v/>
      </c>
      <c r="Y37" s="54" t="str">
        <f>IF(AND('Mapa final'!$AL$49="Media",'Mapa final'!$AN$49="Moderado"),CONCATENATE("R2C",'Mapa final'!$U$49),"")</f>
        <v/>
      </c>
      <c r="Z37" s="54" t="str">
        <f>IF(AND('Mapa final'!$AL$50="Media",'Mapa final'!$AN$50="Moderado"),CONCATENATE("R2C",'Mapa final'!$U$50),"")</f>
        <v/>
      </c>
      <c r="AA37" s="54" t="str">
        <f>IF(AND('Mapa final'!$AL$51="Media",'Mapa final'!$AN$51="Moderado"),CONCATENATE("R2C",'Mapa final'!$U$51),"")</f>
        <v/>
      </c>
      <c r="AB37" s="55" t="str">
        <f>IF(AND('Mapa final'!$AL$62="Media",'Mapa final'!$AN$52="Moderado"),CONCATENATE("R2C",'Mapa final'!$U$52),"")</f>
        <v/>
      </c>
      <c r="AC37" s="38" t="str">
        <f>IF(AND('Mapa final'!$AL$47="Media",'Mapa final'!$AN$47="Mayor"),CONCATENATE("R2C",'Mapa final'!$U$47),"")</f>
        <v/>
      </c>
      <c r="AD37" s="39" t="str">
        <f>IF(AND('Mapa final'!$AL$48="Media",'Mapa final'!$AN$48="Mayor"),CONCATENATE("R2C",'Mapa final'!$U$48),"")</f>
        <v/>
      </c>
      <c r="AE37" s="39" t="str">
        <f>IF(AND('Mapa final'!$AL$49="Media",'Mapa final'!$AN$49="Mayor"),CONCATENATE("R2C",'Mapa final'!$U$49),"")</f>
        <v/>
      </c>
      <c r="AF37" s="39" t="str">
        <f>IF(AND('Mapa final'!$AL$50="Media",'Mapa final'!$AN$50="Mayor"),CONCATENATE("R2C",'Mapa final'!$U$50),"")</f>
        <v/>
      </c>
      <c r="AG37" s="39" t="str">
        <f>IF(AND('Mapa final'!$AL$51="Media",'Mapa final'!$AN$51="Mayor"),CONCATENATE("R2C",'Mapa final'!$U$51),"")</f>
        <v/>
      </c>
      <c r="AH37" s="40" t="str">
        <f>IF(AND('Mapa final'!$AL$62="Media",'Mapa final'!$AN$52="Mayor"),CONCATENATE("R2C",'Mapa final'!$U$52),"")</f>
        <v/>
      </c>
      <c r="AI37" s="41" t="str">
        <f>IF(AND('Mapa final'!$AL$47="Media",'Mapa final'!$AN$47="Catastrófico"),CONCATENATE("R2C",'Mapa final'!$U$47),"")</f>
        <v/>
      </c>
      <c r="AJ37" s="42" t="str">
        <f>IF(AND('Mapa final'!$AL$48="Media",'Mapa final'!$AN$48="Catastrófico"),CONCATENATE("R2C",'Mapa final'!$U$48),"")</f>
        <v/>
      </c>
      <c r="AK37" s="42" t="str">
        <f>IF(AND('Mapa final'!$AL$49="Media",'Mapa final'!$AN$49="Catastrófico"),CONCATENATE("R2C",'Mapa final'!$U$49),"")</f>
        <v/>
      </c>
      <c r="AL37" s="42" t="str">
        <f>IF(AND('Mapa final'!$AL$50="Media",'Mapa final'!$AN$50="Catastrófico"),CONCATENATE("R2C",'Mapa final'!$U$50),"")</f>
        <v/>
      </c>
      <c r="AM37" s="42" t="str">
        <f>IF(AND('Mapa final'!$AL$51="Media",'Mapa final'!$AN$51="Catastrófico"),CONCATENATE("R2C",'Mapa final'!$U$51),"")</f>
        <v/>
      </c>
      <c r="AN37" s="43" t="str">
        <f>IF(AND('Mapa final'!$AL$62="Media",'Mapa final'!$AN$52="Catastrófico"),CONCATENATE("R2C",'Mapa final'!$U$52),"")</f>
        <v/>
      </c>
      <c r="AO37" s="69"/>
      <c r="AP37" s="503"/>
      <c r="AQ37" s="504"/>
      <c r="AR37" s="504"/>
      <c r="AS37" s="504"/>
      <c r="AT37" s="504"/>
      <c r="AU37" s="505"/>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419"/>
      <c r="D38" s="419"/>
      <c r="E38" s="420"/>
      <c r="F38" s="462"/>
      <c r="G38" s="463"/>
      <c r="H38" s="463"/>
      <c r="I38" s="463"/>
      <c r="J38" s="464"/>
      <c r="K38" s="53" t="str">
        <f>IF(AND('Mapa final'!$AL$53="Media",'Mapa final'!$AN$53="Leve"),CONCATENATE("R2C",'Mapa final'!$U$53),"")</f>
        <v/>
      </c>
      <c r="L38" s="54" t="str">
        <f>IF(AND('Mapa final'!$AL$54="Media",'Mapa final'!$AN$54="Leve"),CONCATENATE("R2C",'Mapa final'!$U$54),"")</f>
        <v/>
      </c>
      <c r="M38" s="54" t="str">
        <f>IF(AND('Mapa final'!$AL$55="Media",'Mapa final'!$AN$55="Leve"),CONCATENATE("R2C",'Mapa final'!$U$55),"")</f>
        <v/>
      </c>
      <c r="N38" s="54" t="str">
        <f>IF(AND('Mapa final'!$AL$56="Media",'Mapa final'!$AN$56="Leve"),CONCATENATE("R2C",'Mapa final'!$U$56),"")</f>
        <v/>
      </c>
      <c r="O38" s="54" t="str">
        <f>IF(AND('Mapa final'!$AL$57="Media",'Mapa final'!$AN$57="Leve"),CONCATENATE("R2C",'Mapa final'!$U$57),"")</f>
        <v/>
      </c>
      <c r="P38" s="55" t="str">
        <f>IF(AND('Mapa final'!$AL$58="Media",'Mapa final'!$AN$58="Leve"),CONCATENATE("R2C",'Mapa final'!$U$58),"")</f>
        <v/>
      </c>
      <c r="Q38" s="53" t="str">
        <f>IF(AND('Mapa final'!$AL$53="Media",'Mapa final'!$AN$53="Menor"),CONCATENATE("R2C",'Mapa final'!$U$53),"")</f>
        <v/>
      </c>
      <c r="R38" s="54" t="str">
        <f>IF(AND('Mapa final'!$AL$54="Media",'Mapa final'!$AN$54="Menor"),CONCATENATE("R2C",'Mapa final'!$U$54),"")</f>
        <v/>
      </c>
      <c r="S38" s="54" t="str">
        <f>IF(AND('Mapa final'!$AL$55="Media",'Mapa final'!$AN$55="Menor"),CONCATENATE("R2C",'Mapa final'!$U$55),"")</f>
        <v/>
      </c>
      <c r="T38" s="54" t="str">
        <f>IF(AND('Mapa final'!$AL$56="Media",'Mapa final'!$AN$56="Menor"),CONCATENATE("R2C",'Mapa final'!$U$56),"")</f>
        <v/>
      </c>
      <c r="U38" s="54" t="str">
        <f>IF(AND('Mapa final'!$AL$57="Media",'Mapa final'!$AN$57="Menor"),CONCATENATE("R2C",'Mapa final'!$U$57),"")</f>
        <v/>
      </c>
      <c r="V38" s="55" t="str">
        <f>IF(AND('Mapa final'!$AL$58="Media",'Mapa final'!$AN$58="Menor"),CONCATENATE("R2C",'Mapa final'!$U$58),"")</f>
        <v/>
      </c>
      <c r="W38" s="53" t="str">
        <f>IF(AND('Mapa final'!$AL$53="Media",'Mapa final'!$AN$53="Moderado"),CONCATENATE("R2C",'Mapa final'!$U$53),"")</f>
        <v/>
      </c>
      <c r="X38" s="54" t="str">
        <f>IF(AND('Mapa final'!$AL$54="Media",'Mapa final'!$AN$54="Moderado"),CONCATENATE("R2C",'Mapa final'!$U$54),"")</f>
        <v/>
      </c>
      <c r="Y38" s="54" t="str">
        <f>IF(AND('Mapa final'!$AL$55="Media",'Mapa final'!$AN$55="Moderado"),CONCATENATE("R2C",'Mapa final'!$U$55),"")</f>
        <v/>
      </c>
      <c r="Z38" s="54" t="str">
        <f>IF(AND('Mapa final'!$AL$56="Media",'Mapa final'!$AN$56="Moderado"),CONCATENATE("R2C",'Mapa final'!$U$56),"")</f>
        <v/>
      </c>
      <c r="AA38" s="54" t="str">
        <f>IF(AND('Mapa final'!$AL$57="Media",'Mapa final'!$AN$57="Moderado"),CONCATENATE("R2C",'Mapa final'!$U$57),"")</f>
        <v/>
      </c>
      <c r="AB38" s="55" t="str">
        <f>IF(AND('Mapa final'!$AL$58="Media",'Mapa final'!$AN$58="Moderado"),CONCATENATE("R2C",'Mapa final'!$U$58),"")</f>
        <v/>
      </c>
      <c r="AC38" s="38" t="str">
        <f>IF(AND('Mapa final'!$AL$53="Media",'Mapa final'!$AN$53="Mayor"),CONCATENATE("R2C",'Mapa final'!$U$53),"")</f>
        <v/>
      </c>
      <c r="AD38" s="39" t="str">
        <f>IF(AND('Mapa final'!$AL$54="Media",'Mapa final'!$AN$54="Mayor"),CONCATENATE("R2C",'Mapa final'!$U$54),"")</f>
        <v/>
      </c>
      <c r="AE38" s="39" t="str">
        <f>IF(AND('Mapa final'!$AL$55="Media",'Mapa final'!$AN$55="Mayor"),CONCATENATE("R2C",'Mapa final'!$U$55),"")</f>
        <v/>
      </c>
      <c r="AF38" s="39" t="str">
        <f>IF(AND('Mapa final'!$AL$56="Media",'Mapa final'!$AN$56="Mayor"),CONCATENATE("R2C",'Mapa final'!$U$56),"")</f>
        <v/>
      </c>
      <c r="AG38" s="39" t="str">
        <f>IF(AND('Mapa final'!$AL$57="Media",'Mapa final'!$AN$57="Mayor"),CONCATENATE("R2C",'Mapa final'!$U$57),"")</f>
        <v/>
      </c>
      <c r="AH38" s="40" t="str">
        <f>IF(AND('Mapa final'!$AL$58="Media",'Mapa final'!$AN$58="Mayor"),CONCATENATE("R2C",'Mapa final'!$U$58),"")</f>
        <v/>
      </c>
      <c r="AI38" s="41" t="str">
        <f>IF(AND('Mapa final'!$AL$53="Media",'Mapa final'!$AN$53="Catastrófico"),CONCATENATE("R2C",'Mapa final'!$U$53),"")</f>
        <v/>
      </c>
      <c r="AJ38" s="42" t="str">
        <f>IF(AND('Mapa final'!$AL$54="Media",'Mapa final'!$AN$54="Catastrófico"),CONCATENATE("R2C",'Mapa final'!$U$54),"")</f>
        <v/>
      </c>
      <c r="AK38" s="42" t="str">
        <f>IF(AND('Mapa final'!$AL$55="Media",'Mapa final'!$AN$55="Catastrófico"),CONCATENATE("R2C",'Mapa final'!$U$55),"")</f>
        <v/>
      </c>
      <c r="AL38" s="42" t="str">
        <f>IF(AND('Mapa final'!$AL$56="Media",'Mapa final'!$AN$56="Catastrófico"),CONCATENATE("R2C",'Mapa final'!$U$56),"")</f>
        <v/>
      </c>
      <c r="AM38" s="42" t="str">
        <f>IF(AND('Mapa final'!$AL$57="Media",'Mapa final'!$AN$57="Catastrófico"),CONCATENATE("R2C",'Mapa final'!$U$57),"")</f>
        <v/>
      </c>
      <c r="AN38" s="43" t="str">
        <f>IF(AND('Mapa final'!$AL$58="Media",'Mapa final'!$AN$58="Catastrófico"),CONCATENATE("R2C",'Mapa final'!$U$58),"")</f>
        <v/>
      </c>
      <c r="AO38" s="69"/>
      <c r="AP38" s="503"/>
      <c r="AQ38" s="504"/>
      <c r="AR38" s="504"/>
      <c r="AS38" s="504"/>
      <c r="AT38" s="504"/>
      <c r="AU38" s="505"/>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419"/>
      <c r="D39" s="419"/>
      <c r="E39" s="420"/>
      <c r="F39" s="462"/>
      <c r="G39" s="463"/>
      <c r="H39" s="463"/>
      <c r="I39" s="463"/>
      <c r="J39" s="464"/>
      <c r="K39" s="53" t="str">
        <f>IF(AND('Mapa final'!$AL$59="Media",'Mapa final'!$AN$59="Leve"),CONCATENATE("R2C",'Mapa final'!$U$59),"")</f>
        <v/>
      </c>
      <c r="L39" s="54" t="str">
        <f>IF(AND('Mapa final'!$AL$60="Media",'Mapa final'!$AN$60="Leve"),CONCATENATE("R2C",'Mapa final'!$U$60),"")</f>
        <v/>
      </c>
      <c r="M39" s="54" t="str">
        <f>IF(AND('Mapa final'!$AL$61="Media",'Mapa final'!$AN$61="Leve"),CONCATENATE("R2C",'Mapa final'!$U$61),"")</f>
        <v/>
      </c>
      <c r="N39" s="54" t="str">
        <f>IF(AND('Mapa final'!$AL$62="Media",'Mapa final'!$AN$62="Leve"),CONCATENATE("R2C",'Mapa final'!$U$62),"")</f>
        <v/>
      </c>
      <c r="O39" s="54" t="str">
        <f>IF(AND('Mapa final'!$AL$63="Media",'Mapa final'!$AN$63="Leve"),CONCATENATE("R2C",'Mapa final'!$U$63),"")</f>
        <v/>
      </c>
      <c r="P39" s="55" t="str">
        <f>IF(AND('Mapa final'!$AL$64="Media",'Mapa final'!$AN$64="Leve"),CONCATENATE("R2C",'Mapa final'!$U$64),"")</f>
        <v/>
      </c>
      <c r="Q39" s="53" t="str">
        <f>IF(AND('Mapa final'!$AL$59="Media",'Mapa final'!$AN$59="Menor"),CONCATENATE("R2C",'Mapa final'!$U$59),"")</f>
        <v/>
      </c>
      <c r="R39" s="54" t="str">
        <f>IF(AND('Mapa final'!$AL$60="Media",'Mapa final'!$AN$60="Menor"),CONCATENATE("R2C",'Mapa final'!$U$60),"")</f>
        <v/>
      </c>
      <c r="S39" s="54" t="str">
        <f>IF(AND('Mapa final'!$AL$61="Media",'Mapa final'!$AN$61="Menor"),CONCATENATE("R2C",'Mapa final'!$U$61),"")</f>
        <v/>
      </c>
      <c r="T39" s="54" t="str">
        <f>IF(AND('Mapa final'!$AL$62="Media",'Mapa final'!$AN$62="Menor"),CONCATENATE("R2C",'Mapa final'!$U$62),"")</f>
        <v/>
      </c>
      <c r="U39" s="54" t="str">
        <f>IF(AND('Mapa final'!$AL$63="Media",'Mapa final'!$AN$63="Menor"),CONCATENATE("R2C",'Mapa final'!$U$63),"")</f>
        <v/>
      </c>
      <c r="V39" s="55" t="str">
        <f>IF(AND('Mapa final'!$AL$64="Media",'Mapa final'!$AN$64="Menor"),CONCATENATE("R2C",'Mapa final'!$U$64),"")</f>
        <v/>
      </c>
      <c r="W39" s="53" t="str">
        <f>IF(AND('Mapa final'!$AL$59="Media",'Mapa final'!$AN$59="Moderado"),CONCATENATE("R2C",'Mapa final'!$U$59),"")</f>
        <v/>
      </c>
      <c r="X39" s="54" t="str">
        <f>IF(AND('Mapa final'!$AL$60="Media",'Mapa final'!$AN$60="Moderado"),CONCATENATE("R2C",'Mapa final'!$U$60),"")</f>
        <v/>
      </c>
      <c r="Y39" s="54" t="str">
        <f>IF(AND('Mapa final'!$AL$61="Media",'Mapa final'!$AN$61="Moderado"),CONCATENATE("R2C",'Mapa final'!$U$61),"")</f>
        <v/>
      </c>
      <c r="Z39" s="54" t="str">
        <f>IF(AND('Mapa final'!$AL$62="Media",'Mapa final'!$AN$62="Moderado"),CONCATENATE("R2C",'Mapa final'!$U$62),"")</f>
        <v/>
      </c>
      <c r="AA39" s="54" t="str">
        <f>IF(AND('Mapa final'!$AL$63="Media",'Mapa final'!$AN$63="Moderado"),CONCATENATE("R2C",'Mapa final'!$U$63),"")</f>
        <v/>
      </c>
      <c r="AB39" s="55" t="str">
        <f>IF(AND('Mapa final'!$AL$64="Media",'Mapa final'!$AN$64="Moderado"),CONCATENATE("R2C",'Mapa final'!$U$64),"")</f>
        <v/>
      </c>
      <c r="AC39" s="38" t="str">
        <f>IF(AND('Mapa final'!$AL$59="Media",'Mapa final'!$AN$59="Mayor"),CONCATENATE("R2C",'Mapa final'!$U$59),"")</f>
        <v/>
      </c>
      <c r="AD39" s="39" t="str">
        <f>IF(AND('Mapa final'!$AL$60="Media",'Mapa final'!$AN$60="Mayor"),CONCATENATE("R2C",'Mapa final'!$U$60),"")</f>
        <v/>
      </c>
      <c r="AE39" s="39" t="str">
        <f>IF(AND('Mapa final'!$AL$61="Media",'Mapa final'!$AN$61="Mayor"),CONCATENATE("R2C",'Mapa final'!$U$61),"")</f>
        <v/>
      </c>
      <c r="AF39" s="39" t="str">
        <f>IF(AND('Mapa final'!$AL$62="Media",'Mapa final'!$AN$62="Mayor"),CONCATENATE("R2C",'Mapa final'!$U$62),"")</f>
        <v/>
      </c>
      <c r="AG39" s="39" t="str">
        <f>IF(AND('Mapa final'!$AL$63="Media",'Mapa final'!$AN$63="Mayor"),CONCATENATE("R2C",'Mapa final'!$U$63),"")</f>
        <v/>
      </c>
      <c r="AH39" s="40" t="str">
        <f>IF(AND('Mapa final'!$AL$64="Media",'Mapa final'!$AN$64="Mayor"),CONCATENATE("R2C",'Mapa final'!$U$64),"")</f>
        <v/>
      </c>
      <c r="AI39" s="41" t="str">
        <f>IF(AND('Mapa final'!$AL$59="Media",'Mapa final'!$AN$59="Catastrófico"),CONCATENATE("R2C",'Mapa final'!$U$59),"")</f>
        <v/>
      </c>
      <c r="AJ39" s="42" t="str">
        <f>IF(AND('Mapa final'!$AL$60="Media",'Mapa final'!$AN$60="Catastrófico"),CONCATENATE("R2C",'Mapa final'!$U$60),"")</f>
        <v/>
      </c>
      <c r="AK39" s="42" t="str">
        <f>IF(AND('Mapa final'!$AL$61="Media",'Mapa final'!$AN$61="Catastrófico"),CONCATENATE("R2C",'Mapa final'!$U$61),"")</f>
        <v/>
      </c>
      <c r="AL39" s="42" t="str">
        <f>IF(AND('Mapa final'!$AL$62="Media",'Mapa final'!$AN$62="Catastrófico"),CONCATENATE("R2C",'Mapa final'!$U$62),"")</f>
        <v/>
      </c>
      <c r="AM39" s="42" t="str">
        <f>IF(AND('Mapa final'!$AL$63="Media",'Mapa final'!$AN$63="Catastrófico"),CONCATENATE("R2C",'Mapa final'!$U$63),"")</f>
        <v/>
      </c>
      <c r="AN39" s="43" t="str">
        <f>IF(AND('Mapa final'!$AL$64="Media",'Mapa final'!$AN$64="Catastrófico"),CONCATENATE("R2C",'Mapa final'!$U$64),"")</f>
        <v/>
      </c>
      <c r="AO39" s="69"/>
      <c r="AP39" s="503"/>
      <c r="AQ39" s="504"/>
      <c r="AR39" s="504"/>
      <c r="AS39" s="504"/>
      <c r="AT39" s="504"/>
      <c r="AU39" s="505"/>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419"/>
      <c r="D40" s="419"/>
      <c r="E40" s="420"/>
      <c r="F40" s="462"/>
      <c r="G40" s="463"/>
      <c r="H40" s="463"/>
      <c r="I40" s="463"/>
      <c r="J40" s="464"/>
      <c r="K40" s="53" t="str">
        <f>IF(AND('Mapa final'!$AL$65="Media",'Mapa final'!$AN$65="Leve"),CONCATENATE("R2C",'Mapa final'!$U$65),"")</f>
        <v/>
      </c>
      <c r="L40" s="54" t="str">
        <f>IF(AND('Mapa final'!$AL$66="Media",'Mapa final'!$AN$66="Leve"),CONCATENATE("R2C",'Mapa final'!$U$66),"")</f>
        <v/>
      </c>
      <c r="M40" s="54" t="str">
        <f>IF(AND('Mapa final'!$AL$67="Media",'Mapa final'!$AN$67="Leve"),CONCATENATE("R2C",'Mapa final'!$U$67),"")</f>
        <v/>
      </c>
      <c r="N40" s="54" t="str">
        <f>IF(AND('Mapa final'!$AL$68="Media",'Mapa final'!$AN$68="Leve"),CONCATENATE("R2C",'Mapa final'!$U$68),"")</f>
        <v/>
      </c>
      <c r="O40" s="54" t="str">
        <f>IF(AND('Mapa final'!$AL$69="Media",'Mapa final'!$AN$69="Leve"),CONCATENATE("R2C",'Mapa final'!$U$69),"")</f>
        <v/>
      </c>
      <c r="P40" s="55" t="str">
        <f>IF(AND('Mapa final'!$AL$70="Media",'Mapa final'!$AN$70="Leve"),CONCATENATE("R2C",'Mapa final'!$U$70),"")</f>
        <v/>
      </c>
      <c r="Q40" s="53" t="str">
        <f>IF(AND('Mapa final'!$AL$65="Media",'Mapa final'!$AN$65="Menor"),CONCATENATE("R2C",'Mapa final'!$U$65),"")</f>
        <v/>
      </c>
      <c r="R40" s="54" t="str">
        <f>IF(AND('Mapa final'!$AL$66="Media",'Mapa final'!$AN$66="Menor"),CONCATENATE("R2C",'Mapa final'!$U$66),"")</f>
        <v/>
      </c>
      <c r="S40" s="54" t="str">
        <f>IF(AND('Mapa final'!$AL$67="Media",'Mapa final'!$AN$67="Menor"),CONCATENATE("R2C",'Mapa final'!$U$67),"")</f>
        <v/>
      </c>
      <c r="T40" s="54" t="str">
        <f>IF(AND('Mapa final'!$AL$68="Media",'Mapa final'!$AN$68="Menor"),CONCATENATE("R2C",'Mapa final'!$U$68),"")</f>
        <v/>
      </c>
      <c r="U40" s="54" t="str">
        <f>IF(AND('Mapa final'!$AL$69="Media",'Mapa final'!$AN$69="Menor"),CONCATENATE("R2C",'Mapa final'!$U$69),"")</f>
        <v/>
      </c>
      <c r="V40" s="55" t="str">
        <f>IF(AND('Mapa final'!$AL$70="Media",'Mapa final'!$AN$70="Menor"),CONCATENATE("R2C",'Mapa final'!$U$70),"")</f>
        <v/>
      </c>
      <c r="W40" s="53" t="str">
        <f>IF(AND('Mapa final'!$AL$65="Media",'Mapa final'!$AN$65="Moderado"),CONCATENATE("R2C",'Mapa final'!$U$65),"")</f>
        <v/>
      </c>
      <c r="X40" s="54" t="str">
        <f>IF(AND('Mapa final'!$AL$66="Media",'Mapa final'!$AN$66="Moderado"),CONCATENATE("R2C",'Mapa final'!$U$66),"")</f>
        <v/>
      </c>
      <c r="Y40" s="54" t="str">
        <f>IF(AND('Mapa final'!$AL$67="Media",'Mapa final'!$AN$67="Moderado"),CONCATENATE("R2C",'Mapa final'!$U$67),"")</f>
        <v/>
      </c>
      <c r="Z40" s="54" t="str">
        <f>IF(AND('Mapa final'!$AL$68="Media",'Mapa final'!$AN$68="Moderado"),CONCATENATE("R2C",'Mapa final'!$U$68),"")</f>
        <v/>
      </c>
      <c r="AA40" s="54" t="str">
        <f>IF(AND('Mapa final'!$AL$69="Media",'Mapa final'!$AN$69="Moderado"),CONCATENATE("R2C",'Mapa final'!$U$69),"")</f>
        <v/>
      </c>
      <c r="AB40" s="55" t="str">
        <f>IF(AND('Mapa final'!$AL$70="Media",'Mapa final'!$AN$70="Moderado"),CONCATENATE("R2C",'Mapa final'!$U$70),"")</f>
        <v/>
      </c>
      <c r="AC40" s="38" t="str">
        <f>IF(AND('Mapa final'!$AL$65="Media",'Mapa final'!$AN$65="Mayor"),CONCATENATE("R2C",'Mapa final'!$U$65),"")</f>
        <v/>
      </c>
      <c r="AD40" s="39" t="str">
        <f>IF(AND('Mapa final'!$AL$66="Media",'Mapa final'!$AN$66="Mayor"),CONCATENATE("R2C",'Mapa final'!$U$66),"")</f>
        <v/>
      </c>
      <c r="AE40" s="39" t="str">
        <f>IF(AND('Mapa final'!$AL$67="Media",'Mapa final'!$AN$67="Mayor"),CONCATENATE("R2C",'Mapa final'!$U$67),"")</f>
        <v/>
      </c>
      <c r="AF40" s="39" t="str">
        <f>IF(AND('Mapa final'!$AL$68="Media",'Mapa final'!$AN$68="Mayor"),CONCATENATE("R2C",'Mapa final'!$U$68),"")</f>
        <v/>
      </c>
      <c r="AG40" s="39" t="str">
        <f>IF(AND('Mapa final'!$AL$69="Media",'Mapa final'!$AN$69="Mayor"),CONCATENATE("R2C",'Mapa final'!$U$69),"")</f>
        <v/>
      </c>
      <c r="AH40" s="40" t="str">
        <f>IF(AND('Mapa final'!$AL$70="Media",'Mapa final'!$AN$70="Mayor"),CONCATENATE("R2C",'Mapa final'!$U$70),"")</f>
        <v/>
      </c>
      <c r="AI40" s="41" t="str">
        <f>IF(AND('Mapa final'!$AL$65="Media",'Mapa final'!$AN$65="Catastrófico"),CONCATENATE("R2C",'Mapa final'!$U$65),"")</f>
        <v/>
      </c>
      <c r="AJ40" s="42" t="str">
        <f>IF(AND('Mapa final'!$AL$66="Media",'Mapa final'!$AN$66="Catastrófico"),CONCATENATE("R2C",'Mapa final'!$U$66),"")</f>
        <v/>
      </c>
      <c r="AK40" s="42" t="str">
        <f>IF(AND('Mapa final'!$AL$67="Media",'Mapa final'!$AN$67="Catastrófico"),CONCATENATE("R2C",'Mapa final'!$U$67),"")</f>
        <v/>
      </c>
      <c r="AL40" s="42" t="str">
        <f>IF(AND('Mapa final'!$AL$68="Media",'Mapa final'!$AN$68="Catastrófico"),CONCATENATE("R2C",'Mapa final'!$U$68),"")</f>
        <v/>
      </c>
      <c r="AM40" s="42" t="str">
        <f>IF(AND('Mapa final'!$AL$69="Media",'Mapa final'!$AN$69="Catastrófico"),CONCATENATE("R2C",'Mapa final'!$U$69),"")</f>
        <v/>
      </c>
      <c r="AN40" s="43" t="str">
        <f>IF(AND('Mapa final'!$AL$70="Media",'Mapa final'!$AN$70="Catastrófico"),CONCATENATE("R2C",'Mapa final'!$U$70),"")</f>
        <v/>
      </c>
      <c r="AO40" s="69"/>
      <c r="AP40" s="503"/>
      <c r="AQ40" s="504"/>
      <c r="AR40" s="504"/>
      <c r="AS40" s="504"/>
      <c r="AT40" s="504"/>
      <c r="AU40" s="505"/>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419"/>
      <c r="D41" s="419"/>
      <c r="E41" s="420"/>
      <c r="F41" s="465"/>
      <c r="G41" s="466"/>
      <c r="H41" s="466"/>
      <c r="I41" s="466"/>
      <c r="J41" s="467"/>
      <c r="K41" s="53" t="str">
        <f>IF(AND('Mapa final'!$AL$71="Media",'Mapa final'!$AN$71="Leve"),CONCATENATE("R2C",'Mapa final'!$U$71),"")</f>
        <v/>
      </c>
      <c r="L41" s="54" t="str">
        <f>IF(AND('Mapa final'!$AL$72="Media",'Mapa final'!$AN$72="Leve"),CONCATENATE("R2C",'Mapa final'!$U$72),"")</f>
        <v/>
      </c>
      <c r="M41" s="54" t="str">
        <f>IF(AND('Mapa final'!$AL$73="Media",'Mapa final'!$AN$73="Leve"),CONCATENATE("R2C",'Mapa final'!$U$73),"")</f>
        <v/>
      </c>
      <c r="N41" s="54" t="str">
        <f>IF(AND('Mapa final'!$AL$74="Media",'Mapa final'!$AN$74="Leve"),CONCATENATE("R2C",'Mapa final'!$U$74),"")</f>
        <v/>
      </c>
      <c r="O41" s="54" t="str">
        <f>IF(AND('Mapa final'!$AL$76="Media",'Mapa final'!$AN$76="Leve"),CONCATENATE("R2C",'Mapa final'!$U$76),"")</f>
        <v/>
      </c>
      <c r="P41" s="55" t="str">
        <f>IF(AND('Mapa final'!$AL$77="Media",'Mapa final'!$AN$77="Leve"),CONCATENATE("R2C",'Mapa final'!$U$77),"")</f>
        <v/>
      </c>
      <c r="Q41" s="53" t="str">
        <f>IF(AND('Mapa final'!$AL$71="Media",'Mapa final'!$AN$71="Menor"),CONCATENATE("R2C",'Mapa final'!$U$71),"")</f>
        <v/>
      </c>
      <c r="R41" s="54" t="str">
        <f>IF(AND('Mapa final'!$AL$72="Media",'Mapa final'!$AN$72="Menor"),CONCATENATE("R2C",'Mapa final'!$U$72),"")</f>
        <v/>
      </c>
      <c r="S41" s="54" t="str">
        <f>IF(AND('Mapa final'!$AL$73="Media",'Mapa final'!$AN$73="Menor"),CONCATENATE("R2C",'Mapa final'!$U$73),"")</f>
        <v/>
      </c>
      <c r="T41" s="54" t="str">
        <f>IF(AND('Mapa final'!$AL$74="Media",'Mapa final'!$AN$74="Menor"),CONCATENATE("R2C",'Mapa final'!$U$74),"")</f>
        <v/>
      </c>
      <c r="U41" s="54" t="str">
        <f>IF(AND('Mapa final'!$AL$76="Media",'Mapa final'!$AN$76="Menor"),CONCATENATE("R2C",'Mapa final'!$U$76),"")</f>
        <v/>
      </c>
      <c r="V41" s="55" t="str">
        <f>IF(AND('Mapa final'!$AL$77="Media",'Mapa final'!$AN$77="Menor"),CONCATENATE("R2C",'Mapa final'!$U$77),"")</f>
        <v/>
      </c>
      <c r="W41" s="53" t="str">
        <f>IF(AND('Mapa final'!$AL$71="Media",'Mapa final'!$AN$71="Moderado"),CONCATENATE("R2C",'Mapa final'!$U$71),"")</f>
        <v/>
      </c>
      <c r="X41" s="54" t="str">
        <f>IF(AND('Mapa final'!$AL$72="Media",'Mapa final'!$AN$72="Moderado"),CONCATENATE("R2C",'Mapa final'!$U$72),"")</f>
        <v/>
      </c>
      <c r="Y41" s="54" t="str">
        <f>IF(AND('Mapa final'!$AL$73="Media",'Mapa final'!$AN$73="Moderado"),CONCATENATE("R2C",'Mapa final'!$U$73),"")</f>
        <v/>
      </c>
      <c r="Z41" s="54" t="str">
        <f>IF(AND('Mapa final'!$AL$74="Media",'Mapa final'!$AN$74="Moderado"),CONCATENATE("R2C",'Mapa final'!$U$74),"")</f>
        <v/>
      </c>
      <c r="AA41" s="54" t="str">
        <f>IF(AND('Mapa final'!$AL$76="Media",'Mapa final'!$AN$76="Moderado"),CONCATENATE("R2C",'Mapa final'!$U$76),"")</f>
        <v/>
      </c>
      <c r="AB41" s="55" t="str">
        <f>IF(AND('Mapa final'!$AL$77="Media",'Mapa final'!$AN$77="Moderado"),CONCATENATE("R2C",'Mapa final'!$U$77),"")</f>
        <v/>
      </c>
      <c r="AC41" s="38" t="str">
        <f>IF(AND('Mapa final'!$AL$71="Media",'Mapa final'!$AN$71="Mayor"),CONCATENATE("R2C",'Mapa final'!$U$71),"")</f>
        <v/>
      </c>
      <c r="AD41" s="39" t="str">
        <f>IF(AND('Mapa final'!$AL$72="Media",'Mapa final'!$AN$72="Mayor"),CONCATENATE("R2C",'Mapa final'!$U$72),"")</f>
        <v/>
      </c>
      <c r="AE41" s="39" t="str">
        <f>IF(AND('Mapa final'!$AL$73="Media",'Mapa final'!$AN$73="Mayor"),CONCATENATE("R2C",'Mapa final'!$U$73),"")</f>
        <v/>
      </c>
      <c r="AF41" s="39" t="str">
        <f>IF(AND('Mapa final'!$AL$74="Media",'Mapa final'!$AN$74="Mayor"),CONCATENATE("R2C",'Mapa final'!$U$74),"")</f>
        <v/>
      </c>
      <c r="AG41" s="39" t="str">
        <f>IF(AND('Mapa final'!$AL$76="Media",'Mapa final'!$AN$76="Mayor"),CONCATENATE("R2C",'Mapa final'!$U$76),"")</f>
        <v/>
      </c>
      <c r="AH41" s="40" t="str">
        <f>IF(AND('Mapa final'!$AL$77="Media",'Mapa final'!$AN$77="Mayor"),CONCATENATE("R2C",'Mapa final'!$U$77),"")</f>
        <v/>
      </c>
      <c r="AI41" s="47" t="str">
        <f>IF(AND('Mapa final'!$AL$71="Media",'Mapa final'!$AN$71="Catastrófico"),CONCATENATE("R2C",'Mapa final'!$U$71),"")</f>
        <v/>
      </c>
      <c r="AJ41" s="48" t="str">
        <f>IF(AND('Mapa final'!$AL$72="Media",'Mapa final'!$AN$72="Catastrófico"),CONCATENATE("R2C",'Mapa final'!$U$72),"")</f>
        <v/>
      </c>
      <c r="AK41" s="48" t="str">
        <f>IF(AND('Mapa final'!$AL$73="Media",'Mapa final'!$AN$73="Catastrófico"),CONCATENATE("R2C",'Mapa final'!$U$73),"")</f>
        <v/>
      </c>
      <c r="AL41" s="48" t="str">
        <f>IF(AND('Mapa final'!$AL$74="Media",'Mapa final'!$AN$74="Catastrófico"),CONCATENATE("R2C",'Mapa final'!$U$74),"")</f>
        <v/>
      </c>
      <c r="AM41" s="48" t="str">
        <f>IF(AND('Mapa final'!$AL$76="Media",'Mapa final'!$AN$76="Catastrófico"),CONCATENATE("R2C",'Mapa final'!$U$76),"")</f>
        <v/>
      </c>
      <c r="AN41" s="49" t="str">
        <f>IF(AND('Mapa final'!$AL$77="Muy Alta",'Mapa final'!$AN$77="Catastrófico"),CONCATENATE("R2C",'Mapa final'!$U$77),"")</f>
        <v/>
      </c>
      <c r="AO41" s="69"/>
      <c r="AP41" s="506"/>
      <c r="AQ41" s="507"/>
      <c r="AR41" s="507"/>
      <c r="AS41" s="507"/>
      <c r="AT41" s="507"/>
      <c r="AU41" s="508"/>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419"/>
      <c r="D42" s="419"/>
      <c r="E42" s="420"/>
      <c r="F42" s="459" t="s">
        <v>113</v>
      </c>
      <c r="G42" s="460"/>
      <c r="H42" s="460"/>
      <c r="I42" s="460"/>
      <c r="J42" s="460"/>
      <c r="K42" s="59" t="str">
        <f>IF(AND('Mapa final'!$AL$15="Baja",'Mapa final'!$AN$15="Leve"),CONCATENATE("R2C",'Mapa final'!$U$15),"")</f>
        <v/>
      </c>
      <c r="L42" s="60" t="str">
        <f>IF(AND('Mapa final'!$AL$17="Baja",'Mapa final'!$AN$17="Leve"),CONCATENATE("R2C",'Mapa final'!$D$17),"")</f>
        <v/>
      </c>
      <c r="M42" s="60" t="str">
        <f>IF(AND('Mapa final'!$AL$18="Baja",'Mapa final'!$AN$18="Leve"),CONCATENATE("R2C",'Mapa final'!$U$18),"")</f>
        <v/>
      </c>
      <c r="N42" s="60" t="str">
        <f>IF(AND('Mapa final'!$AL$18="Baja",'Mapa final'!$AN$18="Leve"),CONCATENATE("R2C",'Mapa final'!$U$18),"")</f>
        <v/>
      </c>
      <c r="O42" s="60" t="str">
        <f>IF(AND('Mapa final'!$AL$19="Baja",'Mapa final'!$AN$19="Leve"),CONCATENATE("R2C",'Mapa final'!$U$19),"")</f>
        <v/>
      </c>
      <c r="P42" s="61" t="str">
        <f>IF(AND('Mapa final'!$AL$20="Baja",'Mapa final'!$AN$20="Leve"),CONCATENATE("R2C",'Mapa final'!$U$20),"")</f>
        <v/>
      </c>
      <c r="Q42" s="50" t="str">
        <f>IF(AND('Mapa final'!$AL$15="Baja",'Mapa final'!$AN$15="Menor"),CONCATENATE("R2C",'Mapa final'!$U$15),"")</f>
        <v/>
      </c>
      <c r="R42" s="51" t="str">
        <f>IF(AND('Mapa final'!$AL$16="Baja",'Mapa final'!$AN$16="Menore"),CONCATENATE("R2C",'Mapa final'!$U$16),"")</f>
        <v/>
      </c>
      <c r="S42" s="51" t="str">
        <f>IF(AND('Mapa final'!$AL$17="Baja",'Mapa final'!$AN$17="Menor"),CONCATENATE("R2C",'Mapa final'!$U$17),"")</f>
        <v/>
      </c>
      <c r="T42" s="51" t="str">
        <f>IF(AND('Mapa final'!$AL$18="Baja",'Mapa final'!$AN$18="Menor"),CONCATENATE("R2C",'Mapa final'!$U$18),"")</f>
        <v/>
      </c>
      <c r="U42" s="51" t="str">
        <f>IF(AND('Mapa final'!$AL$19="Baja",'Mapa final'!$AN$19="Menor"),CONCATENATE("R2C",'Mapa final'!$U$19),"")</f>
        <v/>
      </c>
      <c r="V42" s="52" t="str">
        <f>IF(AND('Mapa final'!$AL$20="Baja",'Mapa final'!$AN$20="Menor"),CONCATENATE("R2C",'Mapa final'!$U$20),"")</f>
        <v/>
      </c>
      <c r="W42" s="50" t="str">
        <f>IF(AND('Mapa final'!$AL$15="Baja",'Mapa final'!$AN$15="Moderado"),CONCATENATE("R2C",'Mapa final'!$U$15),"")</f>
        <v/>
      </c>
      <c r="X42" s="51" t="str">
        <f>IF(AND('Mapa final'!$AL$16="Baja",'Mapa final'!$AN$16="Moderado"),CONCATENATE("R2C",'Mapa final'!$U$16),"")</f>
        <v/>
      </c>
      <c r="Y42" s="51"/>
      <c r="Z42" s="51" t="str">
        <f>IF(AND('Mapa final'!$AL$18="Baja",'Mapa final'!$AN$18="Moderado"),CONCATENATE("R2C",'Mapa final'!$U$18),"")</f>
        <v/>
      </c>
      <c r="AA42" s="51" t="str">
        <f>IF(AND('Mapa final'!$AL$19="Baja",'Mapa final'!$AN$19="Moderado"),CONCATENATE("R2C",'Mapa final'!$U$19),"")</f>
        <v/>
      </c>
      <c r="AB42" s="52" t="str">
        <f>IF(AND('Mapa final'!$AL$20="Baja",'Mapa final'!$AN$20="Moderado"),CONCATENATE("R2C",'Mapa final'!$U$20),"")</f>
        <v/>
      </c>
      <c r="AC42" s="32" t="str">
        <f>IF(AND('Mapa final'!$AL$15="Baja",'Mapa final'!$AN$15="Mayor"),CONCATENATE("R2C",'Mapa final'!$D$15),"")</f>
        <v/>
      </c>
      <c r="AD42" s="33" t="str">
        <f>IF(AND('Mapa final'!$AL$16="Baja",'Mapa final'!$AN$16="Mayor"),CONCATENATE("R2C",'Mapa final'!$U$16),"")</f>
        <v/>
      </c>
      <c r="AE42" s="33" t="str">
        <f>IF(AND('Mapa final'!$AL$17="Baja",'Mapa final'!$AN$17="Mayor"),CONCATENATE("R2C",'Mapa final'!$D$17),"")</f>
        <v/>
      </c>
      <c r="AF42" s="33" t="str">
        <f>IF(AND('Mapa final'!$AL$17="Baja",'Mapa final'!$AN$17="Mayor"),CONCATENATE("R2C",'Mapa final'!$D$17),"")</f>
        <v/>
      </c>
      <c r="AG42" s="33" t="str">
        <f>IF(AND('Mapa final'!$AL$19="Baja",'Mapa final'!$AN$19="Mayor"),CONCATENATE("R2C",'Mapa final'!$D$19),"")</f>
        <v>R2C2</v>
      </c>
      <c r="AH42" s="34" t="str">
        <f>IF(AND('Mapa final'!$AL$20="Baja",'Mapa final'!$AN$20="Mayor"),CONCATENATE("R2C",'Mapa final'!$U$20),"")</f>
        <v/>
      </c>
      <c r="AI42" s="35" t="str">
        <f>IF(AND('Mapa final'!$AL$15="Baja",'Mapa final'!$AN$15="Catastrófico"),CONCATENATE("R2C",'Mapa final'!$U$15),"")</f>
        <v/>
      </c>
      <c r="AJ42" s="36"/>
      <c r="AK42" s="36" t="str">
        <f>IF(AND('Mapa final'!$AL$17="Baja",'Mapa final'!$AN$17="Catastrófico"),CONCATENATE("R2C",'Mapa final'!$U$17),"")</f>
        <v/>
      </c>
      <c r="AL42" s="36" t="str">
        <f>IF(AND('Mapa final'!$AL$18="Baja",'Mapa final'!$AN$18="Catastrófico"),CONCATENATE("R2C",'Mapa final'!$U$18),"")</f>
        <v/>
      </c>
      <c r="AM42" s="36" t="str">
        <f>IF(AND('Mapa final'!$AL$19="Baja",'Mapa final'!$AN$19="Catastrófico"),CONCATENATE("R2C",'Mapa final'!$U$19),"")</f>
        <v/>
      </c>
      <c r="AN42" s="37" t="str">
        <f>IF(AND('Mapa final'!$AL$20="Baja",'Mapa final'!$AN$20="Catastrófico"),CONCATENATE("R2C",'Mapa final'!$U$20),"")</f>
        <v/>
      </c>
      <c r="AO42" s="69"/>
      <c r="AP42" s="491" t="s">
        <v>81</v>
      </c>
      <c r="AQ42" s="492"/>
      <c r="AR42" s="492"/>
      <c r="AS42" s="492"/>
      <c r="AT42" s="492"/>
      <c r="AU42" s="493"/>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419"/>
      <c r="D43" s="419"/>
      <c r="E43" s="420"/>
      <c r="F43" s="478"/>
      <c r="G43" s="463"/>
      <c r="H43" s="463"/>
      <c r="I43" s="463"/>
      <c r="J43" s="463"/>
      <c r="K43" s="62" t="str">
        <f>IF(AND('Mapa final'!$AL$23="Baja",'Mapa final'!$AN$23="Leve"),CONCATENATE("R2C",'Mapa final'!$U$23),"")</f>
        <v/>
      </c>
      <c r="L43" s="63" t="str">
        <f>IF(AND('Mapa final'!$AL$24="Baja",'Mapa final'!$AN$24="Leve"),CONCATENATE("R2C",'Mapa final'!$U$24),"")</f>
        <v/>
      </c>
      <c r="M43" s="63" t="str">
        <f>IF(AND('Mapa final'!$AL$25="Baja",'Mapa final'!$AN$25="Leve"),CONCATENATE("R2C",'Mapa final'!$U$25),"")</f>
        <v/>
      </c>
      <c r="N43" s="63" t="str">
        <f>IF(AND('Mapa final'!$AL$26="Baja",'Mapa final'!$AN$26="Leve"),CONCATENATE("R2C",'Mapa final'!$U$26),"")</f>
        <v/>
      </c>
      <c r="O43" s="63" t="str">
        <f>IF(AND('Mapa final'!$AL$27="Baja",'Mapa final'!$AN$27="Leve"),CONCATENATE("R2C",'Mapa final'!$U$27),"")</f>
        <v/>
      </c>
      <c r="P43" s="64" t="str">
        <f>IF(AND('Mapa final'!$AL$28="Baja",'Mapa final'!$AN$28="Leve"),CONCATENATE("R2C",'Mapa final'!$U$28),"")</f>
        <v/>
      </c>
      <c r="Q43" s="53" t="str">
        <f>IF(AND('Mapa final'!$AL$23="Baja",'Mapa final'!$AN$23="Menor"),CONCATENATE("R2C",'Mapa final'!$U$23),"")</f>
        <v/>
      </c>
      <c r="R43" s="54" t="str">
        <f>IF(AND('Mapa final'!$AL$24="Baja",'Mapa final'!$AN$24="Menor"),CONCATENATE("R2C",'Mapa final'!$U$24),"")</f>
        <v/>
      </c>
      <c r="S43" s="54" t="str">
        <f>IF(AND('Mapa final'!$AL$25="Baja",'Mapa final'!$AN$25="Menor"),CONCATENATE("R2C",'Mapa final'!$U$25),"")</f>
        <v/>
      </c>
      <c r="T43" s="54" t="str">
        <f>IF(AND('Mapa final'!$AL$26="Baja",'Mapa final'!$AN$26="Menor"),CONCATENATE("R2C",'Mapa final'!$U$26),"")</f>
        <v/>
      </c>
      <c r="U43" s="54" t="str">
        <f>IF(AND('Mapa final'!$AL$27="Baja",'Mapa final'!$AN$27="Menor"),CONCATENATE("R2C",'Mapa final'!$U$27),"")</f>
        <v/>
      </c>
      <c r="V43" s="55" t="str">
        <f>IF(AND('Mapa final'!$AL$28="Baja",'Mapa final'!$AN$28="Menor"),CONCATENATE("R2C",'Mapa final'!$U$28),"")</f>
        <v/>
      </c>
      <c r="W43" s="53" t="str">
        <f>IF(AND('Mapa final'!$AL$23="Baja",'Mapa final'!$AN$23="Moderado"),CONCATENATE("R2C",'Mapa final'!$U$23),"")</f>
        <v/>
      </c>
      <c r="X43" s="54" t="str">
        <f>IF(AND('Mapa final'!$AL$24="Baja",'Mapa final'!$AN$24="Moderado"),CONCATENATE("R2C",'Mapa final'!$U$24),"")</f>
        <v/>
      </c>
      <c r="Y43" s="54" t="str">
        <f>IF(AND('Mapa final'!$AL$25="Baja",'Mapa final'!$AN$25="Moderado"),CONCATENATE("R2C",'Mapa final'!$U$25),"")</f>
        <v/>
      </c>
      <c r="Z43" s="54" t="str">
        <f>IF(AND('Mapa final'!$AL$26="Baja",'Mapa final'!$AN$26="Moderado"),CONCATENATE("R2C",'Mapa final'!$U$26),"")</f>
        <v/>
      </c>
      <c r="AA43" s="54" t="str">
        <f>IF(AND('Mapa final'!$AL$27="Baja",'Mapa final'!$AN$27="Moderado"),CONCATENATE("R2C",'Mapa final'!$U$27),"")</f>
        <v/>
      </c>
      <c r="AB43" s="55" t="str">
        <f>IF(AND('Mapa final'!$AL$28="Baja",'Mapa final'!$AN$28="Moderado"),CONCATENATE("R2C",'Mapa final'!$U$28),"")</f>
        <v/>
      </c>
      <c r="AC43" s="38" t="str">
        <f>IF(AND('Mapa final'!$AL$23="Baja",'Mapa final'!$AN$23="Mayor"),CONCATENATE("R2C",'Mapa final'!$U$23),"")</f>
        <v/>
      </c>
      <c r="AD43" s="39" t="str">
        <f>IF(AND('Mapa final'!$AL$24="Baja",'Mapa final'!$AN$24="Mayor"),CONCATENATE("R2C",'Mapa final'!$U$24),"")</f>
        <v/>
      </c>
      <c r="AE43" s="39" t="str">
        <f>IF(AND('Mapa final'!$AL$25="Baja",'Mapa final'!$AN$25="Mayor"),CONCATENATE("R2C",'Mapa final'!$U$25),"")</f>
        <v/>
      </c>
      <c r="AF43" s="39" t="str">
        <f>IF(AND('Mapa final'!$AL$26="Baja",'Mapa final'!$AN$26="Mayor"),CONCATENATE("R2C",'Mapa final'!$U$26),"")</f>
        <v/>
      </c>
      <c r="AG43" s="39" t="str">
        <f>IF(AND('Mapa final'!$AL$27="Baja",'Mapa final'!$AN$27="Mayor"),CONCATENATE("R2C",'Mapa final'!$U$27),"")</f>
        <v/>
      </c>
      <c r="AH43" s="40" t="str">
        <f>IF(AND('Mapa final'!$AL$28="Baja",'Mapa final'!$AN$28="Mayor"),CONCATENATE("R2C",'Mapa final'!$U$28),"")</f>
        <v/>
      </c>
      <c r="AI43" s="41" t="str">
        <f>IF(AND('Mapa final'!$AL$23="Baja",'Mapa final'!$AN$23="Catastrófico"),CONCATENATE("R2C",'Mapa final'!$U$23),"")</f>
        <v/>
      </c>
      <c r="AJ43" s="42" t="str">
        <f>IF(AND('Mapa final'!$AL$24="Baja",'Mapa final'!$AN$24="Catastrófico"),CONCATENATE("R2C",'Mapa final'!$U$24),"")</f>
        <v/>
      </c>
      <c r="AK43" s="42" t="str">
        <f>IF(AND('Mapa final'!$AL$25="Baja",'Mapa final'!$AN$25="Catastrófico"),CONCATENATE("R2C",'Mapa final'!$U$25),"")</f>
        <v/>
      </c>
      <c r="AL43" s="42" t="str">
        <f>IF(AND('Mapa final'!$AL$26="Baja",'Mapa final'!$AN$26="Catastrófico"),CONCATENATE("R2C",'Mapa final'!$U$26),"")</f>
        <v/>
      </c>
      <c r="AM43" s="42" t="str">
        <f>IF(AND('Mapa final'!$AL$27="Baja",'Mapa final'!$AN$27="Catastrófico"),CONCATENATE("R2C",'Mapa final'!$U$27),"")</f>
        <v/>
      </c>
      <c r="AN43" s="43" t="str">
        <f>IF(AND('Mapa final'!$AL$28="Baja",'Mapa final'!$AN$28="Catastrófico"),CONCATENATE("R2C",'Mapa final'!$U$28),"")</f>
        <v/>
      </c>
      <c r="AO43" s="69"/>
      <c r="AP43" s="494"/>
      <c r="AQ43" s="495"/>
      <c r="AR43" s="495"/>
      <c r="AS43" s="495"/>
      <c r="AT43" s="495"/>
      <c r="AU43" s="496"/>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419"/>
      <c r="D44" s="419"/>
      <c r="E44" s="420"/>
      <c r="F44" s="462"/>
      <c r="G44" s="463"/>
      <c r="H44" s="463"/>
      <c r="I44" s="463"/>
      <c r="J44" s="463"/>
      <c r="K44" s="62" t="str">
        <f>IF(AND('Mapa final'!$AL$29="Baja",'Mapa final'!$AN$29="Leve"),CONCATENATE("R2C",'Mapa final'!$U$29),"")</f>
        <v/>
      </c>
      <c r="L44" s="63" t="str">
        <f>IF(AND('Mapa final'!$AL$30="Baja",'Mapa final'!$AN$30="Leve"),CONCATENATE("R2C",'Mapa final'!$U$30),"")</f>
        <v/>
      </c>
      <c r="M44" s="63" t="str">
        <f>IF(AND('Mapa final'!$AL$31="Baja",'Mapa final'!$AN$31="Leve"),CONCATENATE("R2C",'Mapa final'!$U$31),"")</f>
        <v/>
      </c>
      <c r="N44" s="63" t="str">
        <f>IF(AND('Mapa final'!$AL$32="Baja",'Mapa final'!$AN$32="Leve"),CONCATENATE("R2C",'Mapa final'!$U$32),"")</f>
        <v/>
      </c>
      <c r="O44" s="63" t="str">
        <f>IF(AND('Mapa final'!$AL$33="Baja",'Mapa final'!$AN$33="Leve"),CONCATENATE("R2C",'Mapa final'!$U$33),"")</f>
        <v/>
      </c>
      <c r="P44" s="64" t="str">
        <f>IF(AND('Mapa final'!$AL$34="Baja",'Mapa final'!$AN$34="Leve"),CONCATENATE("R2C",'Mapa final'!$U$34),"")</f>
        <v/>
      </c>
      <c r="Q44" s="53" t="str">
        <f>IF(AND('Mapa final'!$AL$29="Baja",'Mapa final'!$AN$29="Menor"),CONCATENATE("R2C",'Mapa final'!$U$29),"")</f>
        <v/>
      </c>
      <c r="R44" s="54" t="str">
        <f>IF(AND('Mapa final'!$AL$30="Baja",'Mapa final'!$AN$30="Menor"),CONCATENATE("R2C",'Mapa final'!$U$30),"")</f>
        <v/>
      </c>
      <c r="S44" s="54" t="str">
        <f>IF(AND('Mapa final'!$AL$31="Baja",'Mapa final'!$AN$31="Menor"),CONCATENATE("R2C",'Mapa final'!$U$31),"")</f>
        <v/>
      </c>
      <c r="T44" s="54" t="str">
        <f>IF(AND('Mapa final'!$AL$32="Baja",'Mapa final'!$AN$32="Menor"),CONCATENATE("R2C",'Mapa final'!$U$32),"")</f>
        <v/>
      </c>
      <c r="U44" s="54" t="str">
        <f>IF(AND('Mapa final'!$AL$33="Baja",'Mapa final'!$AN$33="Menor"),CONCATENATE("R2C",'Mapa final'!$U$33),"")</f>
        <v/>
      </c>
      <c r="V44" s="55" t="str">
        <f>IF(AND('Mapa final'!$AL$34="Baja",'Mapa final'!$AN$34="Menor"),CONCATENATE("R2C",'Mapa final'!$U$34),"")</f>
        <v/>
      </c>
      <c r="W44" s="53" t="str">
        <f>IF(AND('Mapa final'!$AL$29="Baja",'Mapa final'!$AN$29="Moderado"),CONCATENATE("R2C",'Mapa final'!$U$29),"")</f>
        <v/>
      </c>
      <c r="X44" s="54" t="str">
        <f>IF(AND('Mapa final'!$AL$30="Baja",'Mapa final'!$AN$30="Moderado"),CONCATENATE("R2C",'Mapa final'!$U$30),"")</f>
        <v/>
      </c>
      <c r="Y44" s="54" t="str">
        <f>IF(AND('Mapa final'!$AL$31="Baja",'Mapa final'!$AN$31="Moderado"),CONCATENATE("R2C",'Mapa final'!$U$31),"")</f>
        <v/>
      </c>
      <c r="Z44" s="54" t="str">
        <f>IF(AND('Mapa final'!$AL$32="Baja",'Mapa final'!$AN$32="Moderado"),CONCATENATE("R2C",'Mapa final'!$U$32),"")</f>
        <v/>
      </c>
      <c r="AA44" s="54" t="str">
        <f>IF(AND('Mapa final'!$AL$33="Baja",'Mapa final'!$AN$33="Moderado"),CONCATENATE("R2C",'Mapa final'!$U$33),"")</f>
        <v/>
      </c>
      <c r="AB44" s="55" t="str">
        <f>IF(AND('Mapa final'!$AL$34="Baja",'Mapa final'!$AN$34="Moderado"),CONCATENATE("R2C",'Mapa final'!$U$34),"")</f>
        <v/>
      </c>
      <c r="AC44" s="38" t="str">
        <f>IF(AND('Mapa final'!$AL$29="Baja",'Mapa final'!$AN$29="Mayor"),CONCATENATE("R2C",'Mapa final'!$U$29),"")</f>
        <v/>
      </c>
      <c r="AD44" s="39" t="str">
        <f>IF(AND('Mapa final'!$AL$30="Baja",'Mapa final'!$AN$30="Mayor"),CONCATENATE("R2C",'Mapa final'!$U$30),"")</f>
        <v/>
      </c>
      <c r="AE44" s="39" t="str">
        <f>IF(AND('Mapa final'!$AL$31="Baja",'Mapa final'!$AN$31="Mayor"),CONCATENATE("R2C",'Mapa final'!$U$31),"")</f>
        <v/>
      </c>
      <c r="AF44" s="39" t="str">
        <f>IF(AND('Mapa final'!$AL$32="Baja",'Mapa final'!$AN$32="Mayor"),CONCATENATE("R2C",'Mapa final'!$U$32),"")</f>
        <v/>
      </c>
      <c r="AG44" s="39" t="str">
        <f>IF(AND('Mapa final'!$AL$33="Baja",'Mapa final'!$AN$33="Mayor"),CONCATENATE("R2C",'Mapa final'!$U$33),"")</f>
        <v/>
      </c>
      <c r="AH44" s="40" t="str">
        <f>IF(AND('Mapa final'!$AL$34="Baja",'Mapa final'!$AN$34="Mayor"),CONCATENATE("R2C",'Mapa final'!$U$34),"")</f>
        <v/>
      </c>
      <c r="AI44" s="41" t="str">
        <f>IF(AND('Mapa final'!$AL$29="Baja",'Mapa final'!$AN$29="Catastrófico"),CONCATENATE("R2C",'Mapa final'!$U$29),"")</f>
        <v/>
      </c>
      <c r="AJ44" s="42" t="str">
        <f>IF(AND('Mapa final'!$AL$30="Baja",'Mapa final'!$AN$30="Catastrófico"),CONCATENATE("R2C",'Mapa final'!$U$30),"")</f>
        <v/>
      </c>
      <c r="AK44" s="42" t="str">
        <f>IF(AND('Mapa final'!$AL$31="Baja",'Mapa final'!$AN$31="Catastrófico"),CONCATENATE("R2C",'Mapa final'!$U$31),"")</f>
        <v/>
      </c>
      <c r="AL44" s="42" t="str">
        <f>IF(AND('Mapa final'!$AL$32="Baja",'Mapa final'!$AN$32="Catastrófico"),CONCATENATE("R2C",'Mapa final'!$U$32),"")</f>
        <v/>
      </c>
      <c r="AM44" s="42" t="str">
        <f>IF(AND('Mapa final'!$AL$33="Baja",'Mapa final'!$AN$33="Catastrófico"),CONCATENATE("R2C",'Mapa final'!$U$33),"")</f>
        <v/>
      </c>
      <c r="AN44" s="43" t="str">
        <f>IF(AND('Mapa final'!$AL$34="Baja",'Mapa final'!$AN$34="Catastrófico"),CONCATENATE("R2C",'Mapa final'!$U$34),"")</f>
        <v/>
      </c>
      <c r="AO44" s="69"/>
      <c r="AP44" s="494"/>
      <c r="AQ44" s="495"/>
      <c r="AR44" s="495"/>
      <c r="AS44" s="495"/>
      <c r="AT44" s="495"/>
      <c r="AU44" s="496"/>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419"/>
      <c r="D45" s="419"/>
      <c r="E45" s="420"/>
      <c r="F45" s="462"/>
      <c r="G45" s="463"/>
      <c r="H45" s="463"/>
      <c r="I45" s="463"/>
      <c r="J45" s="463"/>
      <c r="K45" s="62" t="str">
        <f>IF(AND('Mapa final'!$AL$35="Baja",'Mapa final'!$AN$35="Leve"),CONCATENATE("R2C",'Mapa final'!$U$35),"")</f>
        <v/>
      </c>
      <c r="L45" s="63" t="str">
        <f>IF(AND('Mapa final'!$AL$36="Baja",'Mapa final'!$AN$36="Leve"),CONCATENATE("R2C",'Mapa final'!$U$36),"")</f>
        <v/>
      </c>
      <c r="M45" s="63" t="str">
        <f>IF(AND('Mapa final'!$AL$37="Baja",'Mapa final'!$AN$37="Leve"),CONCATENATE("R2C",'Mapa final'!$U$37),"")</f>
        <v/>
      </c>
      <c r="N45" s="63" t="str">
        <f>IF(AND('Mapa final'!$AL$38="Baja",'Mapa final'!$AN$38="Leve"),CONCATENATE("R2C",'Mapa final'!$U$38),"")</f>
        <v/>
      </c>
      <c r="O45" s="63" t="str">
        <f>IF(AND('Mapa final'!$AL$39="Baja",'Mapa final'!$AN$39="Leve"),CONCATENATE("R2C",'Mapa final'!$U$39),"")</f>
        <v/>
      </c>
      <c r="P45" s="64" t="str">
        <f>IF(AND('Mapa final'!$AL$40="Baja",'Mapa final'!$AN$40="Leve"),CONCATENATE("R2C",'Mapa final'!$U$40),"")</f>
        <v/>
      </c>
      <c r="Q45" s="53" t="str">
        <f>IF(AND('Mapa final'!$AL$35="Baja",'Mapa final'!$AN$35="Menor"),CONCATENATE("R2C",'Mapa final'!$U$35),"")</f>
        <v/>
      </c>
      <c r="R45" s="54" t="str">
        <f>IF(AND('Mapa final'!$AL$36="Baja",'Mapa final'!$AN$36="Menor"),CONCATENATE("R2C",'Mapa final'!$U$36),"")</f>
        <v/>
      </c>
      <c r="S45" s="54" t="str">
        <f>IF(AND('Mapa final'!$AL$37="Baja",'Mapa final'!$AN$37="Menor"),CONCATENATE("R2C",'Mapa final'!$U$37),"")</f>
        <v/>
      </c>
      <c r="T45" s="54" t="str">
        <f>IF(AND('Mapa final'!$AL$38="Baja",'Mapa final'!$AN$38="Menor"),CONCATENATE("R2C",'Mapa final'!$U$38),"")</f>
        <v/>
      </c>
      <c r="U45" s="54" t="str">
        <f>IF(AND('Mapa final'!$AL$39="Baja",'Mapa final'!$AN$39="LMenor"),CONCATENATE("R2C",'Mapa final'!$U$39),"")</f>
        <v/>
      </c>
      <c r="V45" s="55" t="str">
        <f>IF(AND('Mapa final'!$AL$40="Baja",'Mapa final'!$AN$40="Menor"),CONCATENATE("R2C",'Mapa final'!$U$40),"")</f>
        <v/>
      </c>
      <c r="W45" s="53" t="str">
        <f>IF(AND('Mapa final'!$AL$35="Baja",'Mapa final'!$AN$35="Moderado"),CONCATENATE("R2C",'Mapa final'!$U$35),"")</f>
        <v/>
      </c>
      <c r="X45" s="54" t="str">
        <f>IF(AND('Mapa final'!$AL$36="Baja",'Mapa final'!$AN$36="Moderado"),CONCATENATE("R2C",'Mapa final'!$U$36),"")</f>
        <v/>
      </c>
      <c r="Y45" s="54" t="str">
        <f>IF(AND('Mapa final'!$AL$37="Baja",'Mapa final'!$AN$37="Moderado"),CONCATENATE("R2C",'Mapa final'!$U$37),"")</f>
        <v/>
      </c>
      <c r="Z45" s="54" t="str">
        <f>IF(AND('Mapa final'!$AL$38="Baja",'Mapa final'!$AN$38="Moderado"),CONCATENATE("R2C",'Mapa final'!$U$38),"")</f>
        <v/>
      </c>
      <c r="AA45" s="54" t="str">
        <f>IF(AND('Mapa final'!$AL$39="Baja",'Mapa final'!$AN$39="Moderado"),CONCATENATE("R2C",'Mapa final'!$U$39),"")</f>
        <v/>
      </c>
      <c r="AB45" s="55" t="str">
        <f>IF(AND('Mapa final'!$AL$40="Baja",'Mapa final'!$AN$40="Moderado"),CONCATENATE("R2C",'Mapa final'!$U$40),"")</f>
        <v/>
      </c>
      <c r="AC45" s="38" t="str">
        <f>IF(AND('Mapa final'!$AL$35="Baja",'Mapa final'!$AN$35="Mayor"),CONCATENATE("R2C",'Mapa final'!$U$35),"")</f>
        <v/>
      </c>
      <c r="AD45" s="39" t="str">
        <f>IF(AND('Mapa final'!$AL$36="Baja",'Mapa final'!$AN$36="Mayor"),CONCATENATE("R2C",'Mapa final'!$U$36),"")</f>
        <v/>
      </c>
      <c r="AE45" s="39" t="str">
        <f>IF(AND('Mapa final'!$AL$37="Baja",'Mapa final'!$AN$37="Mayor"),CONCATENATE("R2C",'Mapa final'!$U$37),"")</f>
        <v/>
      </c>
      <c r="AF45" s="39" t="str">
        <f>IF(AND('Mapa final'!$AL$38="Baja",'Mapa final'!$AN$38="Mayor"),CONCATENATE("R2C",'Mapa final'!$U$38),"")</f>
        <v/>
      </c>
      <c r="AG45" s="39" t="str">
        <f>IF(AND('Mapa final'!$AL$39="Baja",'Mapa final'!$AN$39="Mayor"),CONCATENATE("R2C",'Mapa final'!$U$39),"")</f>
        <v/>
      </c>
      <c r="AH45" s="40" t="str">
        <f>IF(AND('Mapa final'!$AL$40="Baja",'Mapa final'!$AN$40="Mayor"),CONCATENATE("R2C",'Mapa final'!$U$40),"")</f>
        <v/>
      </c>
      <c r="AI45" s="41" t="str">
        <f>IF(AND('Mapa final'!$AL$35="Baja",'Mapa final'!$AN$35="Catastrófico"),CONCATENATE("R2C",'Mapa final'!$U$35),"")</f>
        <v/>
      </c>
      <c r="AJ45" s="42" t="str">
        <f>IF(AND('Mapa final'!$AL$36="Baja",'Mapa final'!$AN$36="Catastrófico"),CONCATENATE("R2C",'Mapa final'!$U$36),"")</f>
        <v/>
      </c>
      <c r="AK45" s="42" t="str">
        <f>IF(AND('Mapa final'!$AL$37="Baja",'Mapa final'!$AN$37="Catastrófico"),CONCATENATE("R2C",'Mapa final'!$U$37),"")</f>
        <v/>
      </c>
      <c r="AL45" s="42" t="str">
        <f>IF(AND('Mapa final'!$AL$38="Baja",'Mapa final'!$AN$38="Catastrófico"),CONCATENATE("R2C",'Mapa final'!$U$38),"")</f>
        <v/>
      </c>
      <c r="AM45" s="42" t="str">
        <f>IF(AND('Mapa final'!$AL$39="Baja",'Mapa final'!$AN$39="LCatastrófico"),CONCATENATE("R2C",'Mapa final'!$U$39),"")</f>
        <v/>
      </c>
      <c r="AN45" s="43" t="str">
        <f>IF(AND('Mapa final'!$AL$40="Baja",'Mapa final'!$AN$40="Catastrófico"),CONCATENATE("R2C",'Mapa final'!$U$40),"")</f>
        <v/>
      </c>
      <c r="AO45" s="69"/>
      <c r="AP45" s="494"/>
      <c r="AQ45" s="495"/>
      <c r="AR45" s="495"/>
      <c r="AS45" s="495"/>
      <c r="AT45" s="495"/>
      <c r="AU45" s="496"/>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419"/>
      <c r="D46" s="419"/>
      <c r="E46" s="420"/>
      <c r="F46" s="462"/>
      <c r="G46" s="463"/>
      <c r="H46" s="463"/>
      <c r="I46" s="463"/>
      <c r="J46" s="463"/>
      <c r="K46" s="62" t="str">
        <f>IF(AND('Mapa final'!$AL$41="Baja",'Mapa final'!$AN$41="Leve"),CONCATENATE("R2C",'Mapa final'!$U$41),"")</f>
        <v/>
      </c>
      <c r="L46" s="63" t="str">
        <f>IF(AND('Mapa final'!$AL$42="Baja",'Mapa final'!$AN$42="Leve"),CONCATENATE("R2C",'Mapa final'!$U$42),"")</f>
        <v/>
      </c>
      <c r="M46" s="63" t="str">
        <f>IF(AND('Mapa final'!$AL$43="Baja",'Mapa final'!$AN$43="Leve"),CONCATENATE("R2C",'Mapa final'!$U$43),"")</f>
        <v/>
      </c>
      <c r="N46" s="63" t="str">
        <f>IF(AND('Mapa final'!$AL$44="Baja",'Mapa final'!$AN$44="Leve"),CONCATENATE("R2C",'Mapa final'!$U$44),"")</f>
        <v/>
      </c>
      <c r="O46" s="63" t="str">
        <f>IF(AND('Mapa final'!$AL$45="Baja",'Mapa final'!$AN$45="Leve"),CONCATENATE("R2C",'Mapa final'!$U$45),"")</f>
        <v/>
      </c>
      <c r="P46" s="64" t="str">
        <f>IF(AND('Mapa final'!$AL$46="Baja",'Mapa final'!$AN$46="Leve"),CONCATENATE("R2C",'Mapa final'!$U$46),"")</f>
        <v/>
      </c>
      <c r="Q46" s="53" t="str">
        <f>IF(AND('Mapa final'!$AL$41="Baja",'Mapa final'!$AN$41="Menor"),CONCATENATE("R2C",'Mapa final'!$U$41),"")</f>
        <v/>
      </c>
      <c r="R46" s="54" t="str">
        <f>IF(AND('Mapa final'!$AL$42="Baja",'Mapa final'!$AN$42="Menor"),CONCATENATE("R2C",'Mapa final'!$U$42),"")</f>
        <v/>
      </c>
      <c r="S46" s="54" t="str">
        <f>IF(AND('Mapa final'!$AL$43="Baja",'Mapa final'!$AN$43="Menor"),CONCATENATE("R2C",'Mapa final'!$U$43),"")</f>
        <v/>
      </c>
      <c r="T46" s="54" t="str">
        <f>IF(AND('Mapa final'!$AL$44="Baja",'Mapa final'!$AN$44="Menor"),CONCATENATE("R2C",'Mapa final'!$U$44),"")</f>
        <v/>
      </c>
      <c r="U46" s="54" t="str">
        <f>IF(AND('Mapa final'!$AL$45="Baja",'Mapa final'!$AN$45="Menor"),CONCATENATE("R2C",'Mapa final'!$U$45),"")</f>
        <v/>
      </c>
      <c r="V46" s="55" t="str">
        <f>IF(AND('Mapa final'!$AL$46="Baja",'Mapa final'!$AN$46="Menor"),CONCATENATE("R2C",'Mapa final'!$U$46),"")</f>
        <v/>
      </c>
      <c r="W46" s="53" t="str">
        <f>IF(AND('Mapa final'!$AL$41="Baja",'Mapa final'!$AN$41="Moderado"),CONCATENATE("R2C",'Mapa final'!$U$41),"")</f>
        <v/>
      </c>
      <c r="X46" s="54" t="str">
        <f>IF(AND('Mapa final'!$AL$42="Baja",'Mapa final'!$AN$42="Moderado"),CONCATENATE("R2C",'Mapa final'!$U$42),"")</f>
        <v/>
      </c>
      <c r="Y46" s="54" t="str">
        <f>IF(AND('Mapa final'!$AL$43="Baja",'Mapa final'!$AN$43="Moderado"),CONCATENATE("R2C",'Mapa final'!$U$43),"")</f>
        <v/>
      </c>
      <c r="Z46" s="54" t="str">
        <f>IF(AND('Mapa final'!$AL$44="Baja",'Mapa final'!$AN$44="Moderado"),CONCATENATE("R2C",'Mapa final'!$U$44),"")</f>
        <v/>
      </c>
      <c r="AA46" s="54" t="str">
        <f>IF(AND('Mapa final'!$AL$45="Baja",'Mapa final'!$AN$45="Moderado"),CONCATENATE("R2C",'Mapa final'!$U$45),"")</f>
        <v/>
      </c>
      <c r="AB46" s="55" t="str">
        <f>IF(AND('Mapa final'!$AL$46="Baja",'Mapa final'!$AN$46="Moderado"),CONCATENATE("R2C",'Mapa final'!$U$46),"")</f>
        <v/>
      </c>
      <c r="AC46" s="38" t="str">
        <f>IF(AND('Mapa final'!$AL$41="Baja",'Mapa final'!$AN$41="Mayor"),CONCATENATE("R2C",'Mapa final'!$U$41),"")</f>
        <v/>
      </c>
      <c r="AD46" s="39" t="str">
        <f>IF(AND('Mapa final'!$AL$42="Baja",'Mapa final'!$AN$42="Mayor"),CONCATENATE("R2C",'Mapa final'!$U$42),"")</f>
        <v/>
      </c>
      <c r="AE46" s="39" t="str">
        <f>IF(AND('Mapa final'!$AL$43="Baja",'Mapa final'!$AN$43="Mayor"),CONCATENATE("R2C",'Mapa final'!$U$43),"")</f>
        <v/>
      </c>
      <c r="AF46" s="39" t="str">
        <f>IF(AND('Mapa final'!$AL$44="Baja",'Mapa final'!$AN$44="Mayor"),CONCATENATE("R2C",'Mapa final'!$U$44),"")</f>
        <v/>
      </c>
      <c r="AG46" s="39" t="str">
        <f>IF(AND('Mapa final'!$AL$45="Baja",'Mapa final'!$AN$45="Mayor"),CONCATENATE("R2C",'Mapa final'!$U$45),"")</f>
        <v/>
      </c>
      <c r="AH46" s="40" t="str">
        <f>IF(AND('Mapa final'!$AL$46="Baja",'Mapa final'!$AN$46="Mayor"),CONCATENATE("R2C",'Mapa final'!$U$46),"")</f>
        <v/>
      </c>
      <c r="AI46" s="41" t="str">
        <f>IF(AND('Mapa final'!$AL$41="Baja",'Mapa final'!$AN$41="Catastrófico"),CONCATENATE("R2C",'Mapa final'!$U$41),"")</f>
        <v/>
      </c>
      <c r="AJ46" s="42" t="str">
        <f>IF(AND('Mapa final'!$AL$42="Baja",'Mapa final'!$AN$42="Catastrófico"),CONCATENATE("R2C",'Mapa final'!$U$42),"")</f>
        <v/>
      </c>
      <c r="AK46" s="42" t="str">
        <f>IF(AND('Mapa final'!$AL$43="Baja",'Mapa final'!$AN$43="Catastrófico"),CONCATENATE("R2C",'Mapa final'!$U$43),"")</f>
        <v/>
      </c>
      <c r="AL46" s="42" t="str">
        <f>IF(AND('Mapa final'!$AL$44="Baja",'Mapa final'!$AN$44="Catastrófico"),CONCATENATE("R2C",'Mapa final'!$U$44),"")</f>
        <v/>
      </c>
      <c r="AM46" s="42" t="str">
        <f>IF(AND('Mapa final'!$AL$45="Baja",'Mapa final'!$AN$45="Catastrófico"),CONCATENATE("R2C",'Mapa final'!$U$45),"")</f>
        <v/>
      </c>
      <c r="AN46" s="43" t="str">
        <f>IF(AND('Mapa final'!$AL$46="Baja",'Mapa final'!$AN$46="Catastrófico"),CONCATENATE("R2C",'Mapa final'!$U$46),"")</f>
        <v/>
      </c>
      <c r="AO46" s="69"/>
      <c r="AP46" s="494"/>
      <c r="AQ46" s="495"/>
      <c r="AR46" s="495"/>
      <c r="AS46" s="495"/>
      <c r="AT46" s="495"/>
      <c r="AU46" s="496"/>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419"/>
      <c r="D47" s="419"/>
      <c r="E47" s="420"/>
      <c r="F47" s="462"/>
      <c r="G47" s="463"/>
      <c r="H47" s="463"/>
      <c r="I47" s="463"/>
      <c r="J47" s="463"/>
      <c r="K47" s="62" t="str">
        <f>IF(AND('Mapa final'!$AL$47="Baja",'Mapa final'!$AN$47="Leve"),CONCATENATE("R2C",'Mapa final'!$U$47),"")</f>
        <v/>
      </c>
      <c r="L47" s="63" t="str">
        <f>IF(AND('Mapa final'!$AL$48="Baja",'Mapa final'!$AN$48="Leve"),CONCATENATE("R2C",'Mapa final'!$U$48),"")</f>
        <v/>
      </c>
      <c r="M47" s="63" t="str">
        <f>IF(AND('Mapa final'!$AL$49="Baja",'Mapa final'!$AN$49="Leve"),CONCATENATE("R2C",'Mapa final'!$U$49),"")</f>
        <v/>
      </c>
      <c r="N47" s="63" t="str">
        <f>IF(AND('Mapa final'!$AL$50="Baja",'Mapa final'!$AN$50="Leve"),CONCATENATE("R2C",'Mapa final'!$U$50),"")</f>
        <v/>
      </c>
      <c r="O47" s="63" t="str">
        <f>IF(AND('Mapa final'!$AL$51="Baja",'Mapa final'!$AN$51="Leve"),CONCATENATE("R2C",'Mapa final'!$U$51),"")</f>
        <v/>
      </c>
      <c r="P47" s="64" t="str">
        <f>IF(AND('Mapa final'!$AL$62="Baja",'Mapa final'!$AN$52="Leve"),CONCATENATE("R2C",'Mapa final'!$U$52),"")</f>
        <v/>
      </c>
      <c r="Q47" s="53" t="str">
        <f>IF(AND('Mapa final'!$AL$47="Baja",'Mapa final'!$AN$47="Menor"),CONCATENATE("R2C",'Mapa final'!$U$47),"")</f>
        <v/>
      </c>
      <c r="R47" s="54" t="str">
        <f>IF(AND('Mapa final'!$AL$48="Baja",'Mapa final'!$AN$48="Menor"),CONCATENATE("R2C",'Mapa final'!$U$48),"")</f>
        <v/>
      </c>
      <c r="S47" s="54" t="str">
        <f>IF(AND('Mapa final'!$AL$49="Baja",'Mapa final'!$AN$49="Menor"),CONCATENATE("R2C",'Mapa final'!$U$49),"")</f>
        <v/>
      </c>
      <c r="T47" s="54" t="str">
        <f>IF(AND('Mapa final'!$AL$50="Baja",'Mapa final'!$AN$50="Menor"),CONCATENATE("R2C",'Mapa final'!$U$50),"")</f>
        <v/>
      </c>
      <c r="U47" s="54" t="str">
        <f>IF(AND('Mapa final'!$AL$51="Baja",'Mapa final'!$AN$51="Menor"),CONCATENATE("R2C",'Mapa final'!$U$51),"")</f>
        <v/>
      </c>
      <c r="V47" s="55" t="str">
        <f>IF(AND('Mapa final'!$AL$62="Baja",'Mapa final'!$AN$52="Menor"),CONCATENATE("R2C",'Mapa final'!$U$52),"")</f>
        <v/>
      </c>
      <c r="W47" s="53" t="str">
        <f>IF(AND('Mapa final'!$AL$47="Baja",'Mapa final'!$AN$47="Moderado"),CONCATENATE("R2C",'Mapa final'!$U$47),"")</f>
        <v/>
      </c>
      <c r="X47" s="54" t="str">
        <f>IF(AND('Mapa final'!$AL$48="Baja",'Mapa final'!$AN$48="Moderado"),CONCATENATE("R2C",'Mapa final'!$U$48),"")</f>
        <v/>
      </c>
      <c r="Y47" s="54" t="str">
        <f>IF(AND('Mapa final'!$AL$49="Baja",'Mapa final'!$AN$49="Moderado"),CONCATENATE("R2C",'Mapa final'!$U$49),"")</f>
        <v/>
      </c>
      <c r="Z47" s="54" t="str">
        <f>IF(AND('Mapa final'!$AL$50="Baja",'Mapa final'!$AN$50="Moderado"),CONCATENATE("R2C",'Mapa final'!$U$50),"")</f>
        <v/>
      </c>
      <c r="AA47" s="54" t="str">
        <f>IF(AND('Mapa final'!$AL$51="Baja",'Mapa final'!$AN$51="Moderado"),CONCATENATE("R2C",'Mapa final'!$U$51),"")</f>
        <v/>
      </c>
      <c r="AB47" s="55" t="str">
        <f>IF(AND('Mapa final'!$AL$62="Baja",'Mapa final'!$AN$52="Moderado"),CONCATENATE("R2C",'Mapa final'!$U$52),"")</f>
        <v/>
      </c>
      <c r="AC47" s="38" t="str">
        <f>IF(AND('Mapa final'!$AL$47="Baja",'Mapa final'!$AN$47="Mayor"),CONCATENATE("R2C",'Mapa final'!$U$47),"")</f>
        <v/>
      </c>
      <c r="AD47" s="39" t="str">
        <f>IF(AND('Mapa final'!$AL$48="Baja",'Mapa final'!$AN$48="Mayor"),CONCATENATE("R2C",'Mapa final'!$U$48),"")</f>
        <v/>
      </c>
      <c r="AE47" s="39" t="str">
        <f>IF(AND('Mapa final'!$AL$49="Baja",'Mapa final'!$AN$49="Mayor"),CONCATENATE("R2C",'Mapa final'!$U$49),"")</f>
        <v/>
      </c>
      <c r="AF47" s="39" t="str">
        <f>IF(AND('Mapa final'!$AL$50="Baja",'Mapa final'!$AN$50="Mayor"),CONCATENATE("R2C",'Mapa final'!$U$50),"")</f>
        <v/>
      </c>
      <c r="AG47" s="39" t="str">
        <f>IF(AND('Mapa final'!$AL$51="Baja",'Mapa final'!$AN$51="Mayor"),CONCATENATE("R2C",'Mapa final'!$U$51),"")</f>
        <v/>
      </c>
      <c r="AH47" s="40" t="str">
        <f>IF(AND('Mapa final'!$AL$62="Baja",'Mapa final'!$AN$52="Mayor"),CONCATENATE("R2C",'Mapa final'!$U$52),"")</f>
        <v/>
      </c>
      <c r="AI47" s="41" t="str">
        <f>IF(AND('Mapa final'!$AL$47="Baja",'Mapa final'!$AN$47="Catastrófico"),CONCATENATE("R2C",'Mapa final'!$U$47),"")</f>
        <v/>
      </c>
      <c r="AJ47" s="42" t="str">
        <f>IF(AND('Mapa final'!$AL$48="Baja",'Mapa final'!$AN$48="Catastrófico"),CONCATENATE("R2C",'Mapa final'!$U$48),"")</f>
        <v/>
      </c>
      <c r="AK47" s="42" t="str">
        <f>IF(AND('Mapa final'!$AL$49="Baja",'Mapa final'!$AN$49="Catastrófico"),CONCATENATE("R2C",'Mapa final'!$U$49),"")</f>
        <v/>
      </c>
      <c r="AL47" s="42" t="str">
        <f>IF(AND('Mapa final'!$AL$50="Baja",'Mapa final'!$AN$50="Catastrófico"),CONCATENATE("R2C",'Mapa final'!$U$50),"")</f>
        <v/>
      </c>
      <c r="AM47" s="42" t="str">
        <f>IF(AND('Mapa final'!$AL$51="Baja",'Mapa final'!$AN$51="Catastrófico"),CONCATENATE("R2C",'Mapa final'!$U$51),"")</f>
        <v/>
      </c>
      <c r="AN47" s="43" t="str">
        <f>IF(AND('Mapa final'!$AL$62="Baja",'Mapa final'!$AN$52="Catastrófico"),CONCATENATE("R2C",'Mapa final'!$U$52),"")</f>
        <v/>
      </c>
      <c r="AO47" s="69"/>
      <c r="AP47" s="494"/>
      <c r="AQ47" s="495"/>
      <c r="AR47" s="495"/>
      <c r="AS47" s="495"/>
      <c r="AT47" s="495"/>
      <c r="AU47" s="496"/>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419"/>
      <c r="D48" s="419"/>
      <c r="E48" s="420"/>
      <c r="F48" s="462"/>
      <c r="G48" s="463"/>
      <c r="H48" s="463"/>
      <c r="I48" s="463"/>
      <c r="J48" s="463"/>
      <c r="K48" s="62" t="str">
        <f>IF(AND('Mapa final'!$AL$53="Baja",'Mapa final'!$AN$53="Leve"),CONCATENATE("R2C",'Mapa final'!$U$53),"")</f>
        <v/>
      </c>
      <c r="L48" s="63" t="str">
        <f>IF(AND('Mapa final'!$AL$54="Baja",'Mapa final'!$AN$54="Leve"),CONCATENATE("R2C",'Mapa final'!$U$54),"")</f>
        <v/>
      </c>
      <c r="M48" s="63" t="str">
        <f>IF(AND('Mapa final'!$AL$55="Baja",'Mapa final'!$AN$55="Leve"),CONCATENATE("R2C",'Mapa final'!$U$55),"")</f>
        <v/>
      </c>
      <c r="N48" s="63" t="str">
        <f>IF(AND('Mapa final'!$AL$56="Baja",'Mapa final'!$AN$56="Leve"),CONCATENATE("R2C",'Mapa final'!$U$56),"")</f>
        <v/>
      </c>
      <c r="O48" s="63" t="str">
        <f>IF(AND('Mapa final'!$AL$57="Baja",'Mapa final'!$AN$57="Leve"),CONCATENATE("R2C",'Mapa final'!$U$57),"")</f>
        <v/>
      </c>
      <c r="P48" s="64" t="str">
        <f>IF(AND('Mapa final'!$AL$58="Baja",'Mapa final'!$AN$58="Leve"),CONCATENATE("R2C",'Mapa final'!$U$58),"")</f>
        <v/>
      </c>
      <c r="Q48" s="53" t="str">
        <f>IF(AND('Mapa final'!$AL$53="Baja",'Mapa final'!$AN$53="Menor"),CONCATENATE("R2C",'Mapa final'!$U$53),"")</f>
        <v/>
      </c>
      <c r="R48" s="54" t="str">
        <f>IF(AND('Mapa final'!$AL$54="Baja",'Mapa final'!$AN$54="Menor"),CONCATENATE("R2C",'Mapa final'!$U$54),"")</f>
        <v/>
      </c>
      <c r="S48" s="54" t="str">
        <f>IF(AND('Mapa final'!$AL$55="Baja",'Mapa final'!$AN$55="Menor"),CONCATENATE("R2C",'Mapa final'!$U$55),"")</f>
        <v/>
      </c>
      <c r="T48" s="54" t="str">
        <f>IF(AND('Mapa final'!$AL$56="Baja",'Mapa final'!$AN$56="Menor"),CONCATENATE("R2C",'Mapa final'!$U$56),"")</f>
        <v/>
      </c>
      <c r="U48" s="54" t="str">
        <f>IF(AND('Mapa final'!$AL$57="Baja",'Mapa final'!$AN$57="Menor"),CONCATENATE("R2C",'Mapa final'!$U$57),"")</f>
        <v/>
      </c>
      <c r="V48" s="55" t="str">
        <f>IF(AND('Mapa final'!$AL$58="Baja",'Mapa final'!$AN$58="Menor"),CONCATENATE("R2C",'Mapa final'!$U$58),"")</f>
        <v/>
      </c>
      <c r="W48" s="53" t="str">
        <f>IF(AND('Mapa final'!$AL$53="Baja",'Mapa final'!$AN$53="Moderado"),CONCATENATE("R2C",'Mapa final'!$U$53),"")</f>
        <v/>
      </c>
      <c r="X48" s="54" t="str">
        <f>IF(AND('Mapa final'!$AL$54="Baja",'Mapa final'!$AN$54="Moderado"),CONCATENATE("R2C",'Mapa final'!$U$54),"")</f>
        <v/>
      </c>
      <c r="Y48" s="54" t="str">
        <f>IF(AND('Mapa final'!$AL$55="Baja",'Mapa final'!$AN$55="Moderado"),CONCATENATE("R2C",'Mapa final'!$U$55),"")</f>
        <v/>
      </c>
      <c r="Z48" s="54" t="str">
        <f>IF(AND('Mapa final'!$AL$56="Baja",'Mapa final'!$AN$56="Moderado"),CONCATENATE("R2C",'Mapa final'!$U$56),"")</f>
        <v/>
      </c>
      <c r="AA48" s="54" t="str">
        <f>IF(AND('Mapa final'!$AL$57="Baja",'Mapa final'!$AN$57="Moderado"),CONCATENATE("R2C",'Mapa final'!$U$57),"")</f>
        <v/>
      </c>
      <c r="AB48" s="55" t="str">
        <f>IF(AND('Mapa final'!$AL$58="Baja",'Mapa final'!$AN$58="Moderado"),CONCATENATE("R2C",'Mapa final'!$U$58),"")</f>
        <v/>
      </c>
      <c r="AC48" s="38" t="str">
        <f>IF(AND('Mapa final'!$AL$53="Baja",'Mapa final'!$AN$53="Mayor"),CONCATENATE("R2C",'Mapa final'!$U$53),"")</f>
        <v/>
      </c>
      <c r="AD48" s="39" t="str">
        <f>IF(AND('Mapa final'!$AL$54="Baja",'Mapa final'!$AN$54="Mayor"),CONCATENATE("R2C",'Mapa final'!$U$54),"")</f>
        <v/>
      </c>
      <c r="AE48" s="39" t="str">
        <f>IF(AND('Mapa final'!$AL$55="Baja",'Mapa final'!$AN$55="Mayor"),CONCATENATE("R2C",'Mapa final'!$U$55),"")</f>
        <v/>
      </c>
      <c r="AF48" s="39" t="str">
        <f>IF(AND('Mapa final'!$AL$56="Baja",'Mapa final'!$AN$56="Mayor"),CONCATENATE("R2C",'Mapa final'!$U$56),"")</f>
        <v/>
      </c>
      <c r="AG48" s="39" t="str">
        <f>IF(AND('Mapa final'!$AL$57="Baja",'Mapa final'!$AN$57="Mayor"),CONCATENATE("R2C",'Mapa final'!$U$57),"")</f>
        <v/>
      </c>
      <c r="AH48" s="40" t="str">
        <f>IF(AND('Mapa final'!$AL$58="Baja",'Mapa final'!$AN$58="Mayor"),CONCATENATE("R2C",'Mapa final'!$U$58),"")</f>
        <v/>
      </c>
      <c r="AI48" s="41" t="str">
        <f>IF(AND('Mapa final'!$AL$53="Baja",'Mapa final'!$AN$53="Catastrófico"),CONCATENATE("R2C",'Mapa final'!$U$53),"")</f>
        <v/>
      </c>
      <c r="AJ48" s="42" t="str">
        <f>IF(AND('Mapa final'!$AL$54="Baja",'Mapa final'!$AN$54="Catastrófico"),CONCATENATE("R2C",'Mapa final'!$U$54),"")</f>
        <v/>
      </c>
      <c r="AK48" s="42" t="str">
        <f>IF(AND('Mapa final'!$AL$55="Baja",'Mapa final'!$AN$55="Catastrófico"),CONCATENATE("R2C",'Mapa final'!$U$55),"")</f>
        <v/>
      </c>
      <c r="AL48" s="42" t="str">
        <f>IF(AND('Mapa final'!$AL$56="Baja",'Mapa final'!$AN$56="Catastrófico"),CONCATENATE("R2C",'Mapa final'!$U$56),"")</f>
        <v/>
      </c>
      <c r="AM48" s="42" t="str">
        <f>IF(AND('Mapa final'!$AL$57="Baja",'Mapa final'!$AN$57="Catastrófico"),CONCATENATE("R2C",'Mapa final'!$U$57),"")</f>
        <v/>
      </c>
      <c r="AN48" s="43" t="str">
        <f>IF(AND('Mapa final'!$AL$58="Baja",'Mapa final'!$AN$58="Catastrófico"),CONCATENATE("R2C",'Mapa final'!$U$58),"")</f>
        <v/>
      </c>
      <c r="AO48" s="69"/>
      <c r="AP48" s="494"/>
      <c r="AQ48" s="495"/>
      <c r="AR48" s="495"/>
      <c r="AS48" s="495"/>
      <c r="AT48" s="495"/>
      <c r="AU48" s="496"/>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419"/>
      <c r="D49" s="419"/>
      <c r="E49" s="420"/>
      <c r="F49" s="462"/>
      <c r="G49" s="463"/>
      <c r="H49" s="463"/>
      <c r="I49" s="463"/>
      <c r="J49" s="463"/>
      <c r="K49" s="62" t="str">
        <f>IF(AND('Mapa final'!$AL$59="Baja",'Mapa final'!$AN$59="Leve"),CONCATENATE("R2C",'Mapa final'!$U$59),"")</f>
        <v/>
      </c>
      <c r="L49" s="63" t="str">
        <f>IF(AND('Mapa final'!$AL$60="Baja",'Mapa final'!$AN$60="Leve"),CONCATENATE("R2C",'Mapa final'!$U$60),"")</f>
        <v/>
      </c>
      <c r="M49" s="63" t="str">
        <f>IF(AND('Mapa final'!$AL$61="Baja",'Mapa final'!$AN$61="Leve"),CONCATENATE("R2C",'Mapa final'!$U$61),"")</f>
        <v/>
      </c>
      <c r="N49" s="63" t="str">
        <f>IF(AND('Mapa final'!$AL$62="Baja",'Mapa final'!$AN$62="Leve"),CONCATENATE("R2C",'Mapa final'!$U$62),"")</f>
        <v/>
      </c>
      <c r="O49" s="63" t="str">
        <f>IF(AND('Mapa final'!$AL$63="Baja",'Mapa final'!$AN$63="Leve"),CONCATENATE("R2C",'Mapa final'!$U$63),"")</f>
        <v/>
      </c>
      <c r="P49" s="64" t="str">
        <f>IF(AND('Mapa final'!$AL$64="Baja",'Mapa final'!$AN$64="Leve"),CONCATENATE("R2C",'Mapa final'!$U$64),"")</f>
        <v/>
      </c>
      <c r="Q49" s="53" t="str">
        <f>IF(AND('Mapa final'!$AL$59="Baja",'Mapa final'!$AN$59="Menor"),CONCATENATE("R2C",'Mapa final'!$U$59),"")</f>
        <v/>
      </c>
      <c r="R49" s="54" t="str">
        <f>IF(AND('Mapa final'!$AL$60="Baja",'Mapa final'!$AN$60="Menor"),CONCATENATE("R2C",'Mapa final'!$U$60),"")</f>
        <v/>
      </c>
      <c r="S49" s="54" t="str">
        <f>IF(AND('Mapa final'!$AL$61="Baja",'Mapa final'!$AN$61="Menor"),CONCATENATE("R2C",'Mapa final'!$U$61),"")</f>
        <v/>
      </c>
      <c r="T49" s="54" t="str">
        <f>IF(AND('Mapa final'!$AL$62="Baja",'Mapa final'!$AN$62="Menor"),CONCATENATE("R2C",'Mapa final'!$U$62),"")</f>
        <v/>
      </c>
      <c r="U49" s="54" t="str">
        <f>IF(AND('Mapa final'!$AL$63="Baja",'Mapa final'!$AN$63="Menor"),CONCATENATE("R2C",'Mapa final'!$U$63),"")</f>
        <v/>
      </c>
      <c r="V49" s="55" t="str">
        <f>IF(AND('Mapa final'!$AL$64="Baja",'Mapa final'!$AN$64="Menor"),CONCATENATE("R2C",'Mapa final'!$U$64),"")</f>
        <v/>
      </c>
      <c r="W49" s="53" t="str">
        <f>IF(AND('Mapa final'!$AL$59="Baja",'Mapa final'!$AN$59="Moderado"),CONCATENATE("R2C",'Mapa final'!$U$59),"")</f>
        <v/>
      </c>
      <c r="X49" s="54" t="str">
        <f>IF(AND('Mapa final'!$AL$60="Baja",'Mapa final'!$AN$60="Moderado"),CONCATENATE("R2C",'Mapa final'!$U$60),"")</f>
        <v/>
      </c>
      <c r="Y49" s="54" t="str">
        <f>IF(AND('Mapa final'!$AL$61="Baja",'Mapa final'!$AN$61="Moderado"),CONCATENATE("R2C",'Mapa final'!$U$61),"")</f>
        <v/>
      </c>
      <c r="Z49" s="54" t="str">
        <f>IF(AND('Mapa final'!$AL$62="Baja",'Mapa final'!$AN$62="Moderado"),CONCATENATE("R2C",'Mapa final'!$U$62),"")</f>
        <v/>
      </c>
      <c r="AA49" s="54" t="str">
        <f>IF(AND('Mapa final'!$AL$63="Baja",'Mapa final'!$AN$63="Moderado"),CONCATENATE("R2C",'Mapa final'!$U$63),"")</f>
        <v/>
      </c>
      <c r="AB49" s="55" t="str">
        <f>IF(AND('Mapa final'!$AL$64="Baja",'Mapa final'!$AN$64="Moderado"),CONCATENATE("R2C",'Mapa final'!$U$64),"")</f>
        <v/>
      </c>
      <c r="AC49" s="38" t="str">
        <f>IF(AND('Mapa final'!$AL$59="Baja",'Mapa final'!$AN$59="Mayor"),CONCATENATE("R2C",'Mapa final'!$U$59),"")</f>
        <v/>
      </c>
      <c r="AD49" s="39" t="str">
        <f>IF(AND('Mapa final'!$AL$60="Baja",'Mapa final'!$AN$60="Mayor"),CONCATENATE("R2C",'Mapa final'!$U$60),"")</f>
        <v/>
      </c>
      <c r="AE49" s="39" t="str">
        <f>IF(AND('Mapa final'!$AL$61="Baja",'Mapa final'!$AN$61="Mayor"),CONCATENATE("R2C",'Mapa final'!$U$61),"")</f>
        <v/>
      </c>
      <c r="AF49" s="39" t="str">
        <f>IF(AND('Mapa final'!$AL$62="Baja",'Mapa final'!$AN$62="Mayor"),CONCATENATE("R2C",'Mapa final'!$U$62),"")</f>
        <v/>
      </c>
      <c r="AG49" s="39" t="str">
        <f>IF(AND('Mapa final'!$AL$63="Baja",'Mapa final'!$AN$63="Mayor"),CONCATENATE("R2C",'Mapa final'!$U$63),"")</f>
        <v/>
      </c>
      <c r="AH49" s="40" t="str">
        <f>IF(AND('Mapa final'!$AL$64="Baja",'Mapa final'!$AN$64="Mayor"),CONCATENATE("R2C",'Mapa final'!$U$64),"")</f>
        <v/>
      </c>
      <c r="AI49" s="41" t="str">
        <f>IF(AND('Mapa final'!$AL$59="Baja",'Mapa final'!$AN$59="Catastrófico"),CONCATENATE("R2C",'Mapa final'!$U$59),"")</f>
        <v/>
      </c>
      <c r="AJ49" s="42" t="str">
        <f>IF(AND('Mapa final'!$AL$60="Baja",'Mapa final'!$AN$60="Catastrófico"),CONCATENATE("R2C",'Mapa final'!$U$60),"")</f>
        <v/>
      </c>
      <c r="AK49" s="42" t="str">
        <f>IF(AND('Mapa final'!$AL$61="Baja",'Mapa final'!$AN$61="Catastrófico"),CONCATENATE("R2C",'Mapa final'!$U$61),"")</f>
        <v/>
      </c>
      <c r="AL49" s="42" t="str">
        <f>IF(AND('Mapa final'!$AL$62="Baja",'Mapa final'!$AN$62="Catastrófico"),CONCATENATE("R2C",'Mapa final'!$U$62),"")</f>
        <v/>
      </c>
      <c r="AM49" s="42" t="str">
        <f>IF(AND('Mapa final'!$AL$63="Baja",'Mapa final'!$AN$63="Catastrófico"),CONCATENATE("R2C",'Mapa final'!$U$63),"")</f>
        <v/>
      </c>
      <c r="AN49" s="43" t="str">
        <f>IF(AND('Mapa final'!$AL$64="Baja",'Mapa final'!$AN$64="Catastrófico"),CONCATENATE("R2C",'Mapa final'!$U$64),"")</f>
        <v/>
      </c>
      <c r="AO49" s="69"/>
      <c r="AP49" s="494"/>
      <c r="AQ49" s="495"/>
      <c r="AR49" s="495"/>
      <c r="AS49" s="495"/>
      <c r="AT49" s="495"/>
      <c r="AU49" s="496"/>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419"/>
      <c r="D50" s="419"/>
      <c r="E50" s="420"/>
      <c r="F50" s="462"/>
      <c r="G50" s="463"/>
      <c r="H50" s="463"/>
      <c r="I50" s="463"/>
      <c r="J50" s="463"/>
      <c r="K50" s="62" t="str">
        <f>IF(AND('Mapa final'!$AL$65="Baja",'Mapa final'!$AN$65="Leve"),CONCATENATE("R2C",'Mapa final'!$U$65),"")</f>
        <v/>
      </c>
      <c r="L50" s="63" t="str">
        <f>IF(AND('Mapa final'!$AL$66="Baja",'Mapa final'!$AN$66="Leve"),CONCATENATE("R2C",'Mapa final'!$U$66),"")</f>
        <v/>
      </c>
      <c r="M50" s="63" t="str">
        <f>IF(AND('Mapa final'!$AL$67="Baja",'Mapa final'!$AN$67="Leve"),CONCATENATE("R2C",'Mapa final'!$U$67),"")</f>
        <v/>
      </c>
      <c r="N50" s="63" t="str">
        <f>IF(AND('Mapa final'!$AL$68="Baja",'Mapa final'!$AN$68="Leve"),CONCATENATE("R2C",'Mapa final'!$U$68),"")</f>
        <v/>
      </c>
      <c r="O50" s="63" t="str">
        <f>IF(AND('Mapa final'!$AL$69="Baja",'Mapa final'!$AN$69="Leve"),CONCATENATE("R2C",'Mapa final'!$U$69),"")</f>
        <v/>
      </c>
      <c r="P50" s="64" t="str">
        <f>IF(AND('Mapa final'!$AL$70="Baja",'Mapa final'!$AN$70="Leve"),CONCATENATE("R2C",'Mapa final'!$U$70),"")</f>
        <v/>
      </c>
      <c r="Q50" s="53" t="str">
        <f>IF(AND('Mapa final'!$AL$65="Baja",'Mapa final'!$AN$65="Menor"),CONCATENATE("R2C",'Mapa final'!$U$65),"")</f>
        <v/>
      </c>
      <c r="R50" s="54" t="str">
        <f>IF(AND('Mapa final'!$AL$66="Baja",'Mapa final'!$AN$66="Menor"),CONCATENATE("R2C",'Mapa final'!$U$66),"")</f>
        <v/>
      </c>
      <c r="S50" s="54" t="str">
        <f>IF(AND('Mapa final'!$AL$67="Baja",'Mapa final'!$AN$67="Menor"),CONCATENATE("R2C",'Mapa final'!$U$67),"")</f>
        <v/>
      </c>
      <c r="T50" s="54" t="str">
        <f>IF(AND('Mapa final'!$AL$68="Baja",'Mapa final'!$AN$68="Menor"),CONCATENATE("R2C",'Mapa final'!$U$68),"")</f>
        <v/>
      </c>
      <c r="U50" s="54" t="str">
        <f>IF(AND('Mapa final'!$AL$69="Baja",'Mapa final'!$AN$69="Menor"),CONCATENATE("R2C",'Mapa final'!$U$69),"")</f>
        <v/>
      </c>
      <c r="V50" s="55" t="str">
        <f>IF(AND('Mapa final'!$AL$70="Baja",'Mapa final'!$AN$70="Menor"),CONCATENATE("R2C",'Mapa final'!$U$70),"")</f>
        <v/>
      </c>
      <c r="W50" s="53" t="str">
        <f>IF(AND('Mapa final'!$AL$65="Baja",'Mapa final'!$AN$65="Moderado"),CONCATENATE("R2C",'Mapa final'!$U$65),"")</f>
        <v/>
      </c>
      <c r="X50" s="54" t="str">
        <f>IF(AND('Mapa final'!$AL$66="Baja",'Mapa final'!$AN$66="Moderado"),CONCATENATE("R2C",'Mapa final'!$U$66),"")</f>
        <v/>
      </c>
      <c r="Y50" s="54" t="str">
        <f>IF(AND('Mapa final'!$AL$67="Baja",'Mapa final'!$AN$67="Moderado"),CONCATENATE("R2C",'Mapa final'!$U$67),"")</f>
        <v/>
      </c>
      <c r="Z50" s="54" t="str">
        <f>IF(AND('Mapa final'!$AL$68="Baja",'Mapa final'!$AN$68="Moderado"),CONCATENATE("R2C",'Mapa final'!$U$68),"")</f>
        <v/>
      </c>
      <c r="AA50" s="54" t="str">
        <f>IF(AND('Mapa final'!$AL$69="Baja",'Mapa final'!$AN$69="Moderado"),CONCATENATE("R2C",'Mapa final'!$U$69),"")</f>
        <v/>
      </c>
      <c r="AB50" s="55" t="str">
        <f>IF(AND('Mapa final'!$AL$70="Baja",'Mapa final'!$AN$70="Moderado"),CONCATENATE("R2C",'Mapa final'!$U$70),"")</f>
        <v/>
      </c>
      <c r="AC50" s="38" t="str">
        <f>IF(AND('Mapa final'!$AL$65="Baja",'Mapa final'!$AN$65="Mayor"),CONCATENATE("R2C",'Mapa final'!$U$65),"")</f>
        <v/>
      </c>
      <c r="AD50" s="39" t="str">
        <f>IF(AND('Mapa final'!$AL$66="Baja",'Mapa final'!$AN$66="Mayor"),CONCATENATE("R2C",'Mapa final'!$U$66),"")</f>
        <v/>
      </c>
      <c r="AE50" s="39" t="str">
        <f>IF(AND('Mapa final'!$AL$67="Baja",'Mapa final'!$AN$67="Mayor"),CONCATENATE("R2C",'Mapa final'!$U$67),"")</f>
        <v/>
      </c>
      <c r="AF50" s="39" t="str">
        <f>IF(AND('Mapa final'!$AL$68="Baja",'Mapa final'!$AN$68="Mayor"),CONCATENATE("R2C",'Mapa final'!$U$68),"")</f>
        <v/>
      </c>
      <c r="AG50" s="39" t="str">
        <f>IF(AND('Mapa final'!$AL$69="Baja",'Mapa final'!$AN$69="Mayor"),CONCATENATE("R2C",'Mapa final'!$U$69),"")</f>
        <v/>
      </c>
      <c r="AH50" s="40" t="str">
        <f>IF(AND('Mapa final'!$AL$70="Baja",'Mapa final'!$AN$70="Mayor"),CONCATENATE("R2C",'Mapa final'!$U$70),"")</f>
        <v/>
      </c>
      <c r="AI50" s="41" t="str">
        <f>IF(AND('Mapa final'!$AL$65="Baja",'Mapa final'!$AN$65="Catastrófico"),CONCATENATE("R2C",'Mapa final'!$U$65),"")</f>
        <v/>
      </c>
      <c r="AJ50" s="42" t="str">
        <f>IF(AND('Mapa final'!$AL$66="Baja",'Mapa final'!$AN$66="Catastrófico"),CONCATENATE("R2C",'Mapa final'!$U$66),"")</f>
        <v/>
      </c>
      <c r="AK50" s="42" t="str">
        <f>IF(AND('Mapa final'!$AL$67="Baja",'Mapa final'!$AN$67="Catastrófico"),CONCATENATE("R2C",'Mapa final'!$U$67),"")</f>
        <v/>
      </c>
      <c r="AL50" s="42" t="str">
        <f>IF(AND('Mapa final'!$AL$68="Baja",'Mapa final'!$AN$68="Catastrófico"),CONCATENATE("R2C",'Mapa final'!$U$68),"")</f>
        <v/>
      </c>
      <c r="AM50" s="42" t="str">
        <f>IF(AND('Mapa final'!$AL$69="Baja",'Mapa final'!$AN$69="Catastrófico"),CONCATENATE("R2C",'Mapa final'!$U$69),"")</f>
        <v/>
      </c>
      <c r="AN50" s="43" t="str">
        <f>IF(AND('Mapa final'!$AL$70="Baja",'Mapa final'!$AN$70="Catastrófico"),CONCATENATE("R2C",'Mapa final'!$U$70),"")</f>
        <v/>
      </c>
      <c r="AO50" s="69"/>
      <c r="AP50" s="494"/>
      <c r="AQ50" s="495"/>
      <c r="AR50" s="495"/>
      <c r="AS50" s="495"/>
      <c r="AT50" s="495"/>
      <c r="AU50" s="496"/>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419"/>
      <c r="D51" s="419"/>
      <c r="E51" s="420"/>
      <c r="F51" s="465"/>
      <c r="G51" s="466"/>
      <c r="H51" s="466"/>
      <c r="I51" s="466"/>
      <c r="J51" s="466"/>
      <c r="K51" s="65" t="str">
        <f>IF(AND('Mapa final'!$AL$71="Baja",'Mapa final'!$AN$71="Leve"),CONCATENATE("R2C",'Mapa final'!$U$71),"")</f>
        <v/>
      </c>
      <c r="L51" s="66" t="str">
        <f>IF(AND('Mapa final'!$AL$72="Baja",'Mapa final'!$AN$72="Leve"),CONCATENATE("R2C",'Mapa final'!$U$72),"")</f>
        <v/>
      </c>
      <c r="M51" s="66" t="str">
        <f>IF(AND('Mapa final'!$AL$73="Baja",'Mapa final'!$AN$73="Leve"),CONCATENATE("R2C",'Mapa final'!$U$73),"")</f>
        <v/>
      </c>
      <c r="N51" s="66" t="str">
        <f>IF(AND('Mapa final'!$AL$74="Baja",'Mapa final'!$AN$74="Leve"),CONCATENATE("R2C",'Mapa final'!$U$74),"")</f>
        <v/>
      </c>
      <c r="O51" s="66" t="str">
        <f>IF(AND('Mapa final'!$AL$76="Baja",'Mapa final'!$AN$76="Leve"),CONCATENATE("R2C",'Mapa final'!$U$76),"")</f>
        <v/>
      </c>
      <c r="P51" s="67" t="str">
        <f>IF(AND('Mapa final'!$AL$77="Baja",'Mapa final'!$AN$77="Leve"),CONCATENATE("R2C",'Mapa final'!$U$77),"")</f>
        <v/>
      </c>
      <c r="Q51" s="53" t="str">
        <f>IF(AND('Mapa final'!$AL$71="Baja",'Mapa final'!$AN$71="Menor"),CONCATENATE("R2C",'Mapa final'!$U$71),"")</f>
        <v/>
      </c>
      <c r="R51" s="54" t="str">
        <f>IF(AND('Mapa final'!$AL$72="Baja",'Mapa final'!$AN$72="Menor"),CONCATENATE("R2C",'Mapa final'!$U$72),"")</f>
        <v/>
      </c>
      <c r="S51" s="54" t="str">
        <f>IF(AND('Mapa final'!$AL$73="Baja",'Mapa final'!$AN$73="Menor"),CONCATENATE("R2C",'Mapa final'!$U$73),"")</f>
        <v/>
      </c>
      <c r="T51" s="54" t="str">
        <f>IF(AND('Mapa final'!$AL$74="Baja",'Mapa final'!$AN$74="Menor"),CONCATENATE("R2C",'Mapa final'!$U$74),"")</f>
        <v/>
      </c>
      <c r="U51" s="54" t="str">
        <f>IF(AND('Mapa final'!$AL$76="Baja",'Mapa final'!$AN$76="Menor"),CONCATENATE("R2C",'Mapa final'!$U$76),"")</f>
        <v/>
      </c>
      <c r="V51" s="55" t="str">
        <f>IF(AND('Mapa final'!$AL$77="Baja",'Mapa final'!$AN$77="Menor"),CONCATENATE("R2C",'Mapa final'!$U$77),"")</f>
        <v/>
      </c>
      <c r="W51" s="56" t="str">
        <f>IF(AND('Mapa final'!$AL$71="Baja",'Mapa final'!$AN$71="Moderado"),CONCATENATE("R2C",'Mapa final'!$U$71),"")</f>
        <v/>
      </c>
      <c r="X51" s="57" t="str">
        <f>IF(AND('Mapa final'!$AL$72="Baja",'Mapa final'!$AN$72="Moderado"),CONCATENATE("R2C",'Mapa final'!$U$72),"")</f>
        <v/>
      </c>
      <c r="Y51" s="57" t="str">
        <f>IF(AND('Mapa final'!$AL$73="Baja",'Mapa final'!$AN$73="Moderado"),CONCATENATE("R2C",'Mapa final'!$U$73),"")</f>
        <v/>
      </c>
      <c r="Z51" s="57" t="str">
        <f>IF(AND('Mapa final'!$AL$74="Baja",'Mapa final'!$AN$74="Moderado"),CONCATENATE("R2C",'Mapa final'!$U$74),"")</f>
        <v/>
      </c>
      <c r="AA51" s="57" t="str">
        <f>IF(AND('Mapa final'!$AL$76="Baja",'Mapa final'!$AN$76="Moderado"),CONCATENATE("R2C",'Mapa final'!$U$76),"")</f>
        <v/>
      </c>
      <c r="AB51" s="58" t="str">
        <f>IF(AND('Mapa final'!$AL$77="Baja",'Mapa final'!$AN$77="Moderado"),CONCATENATE("R2C",'Mapa final'!$U$77),"")</f>
        <v/>
      </c>
      <c r="AC51" s="44" t="str">
        <f>IF(AND('Mapa final'!$AL$71="Baja",'Mapa final'!$AN$71="Mayor"),CONCATENATE("R2C",'Mapa final'!$U$71),"")</f>
        <v/>
      </c>
      <c r="AD51" s="45" t="str">
        <f>IF(AND('Mapa final'!$AL$72="Baja",'Mapa final'!$AN$72="Mayor"),CONCATENATE("R2C",'Mapa final'!$U$72),"")</f>
        <v/>
      </c>
      <c r="AE51" s="45" t="str">
        <f>IF(AND('Mapa final'!$AL$73="Baja",'Mapa final'!$AN$73="Mayor"),CONCATENATE("R2C",'Mapa final'!$U$73),"")</f>
        <v/>
      </c>
      <c r="AF51" s="45" t="str">
        <f>IF(AND('Mapa final'!$AL$74="Baja",'Mapa final'!$AN$74="Mayor"),CONCATENATE("R2C",'Mapa final'!$U$74),"")</f>
        <v/>
      </c>
      <c r="AG51" s="45" t="str">
        <f>IF(AND('Mapa final'!$AL$76="Baja",'Mapa final'!$AN$76="Mayor"),CONCATENATE("R2C",'Mapa final'!$U$76),"")</f>
        <v/>
      </c>
      <c r="AH51" s="46" t="str">
        <f>IF(AND('Mapa final'!$AL$77="Baja",'Mapa final'!$AN$77="Mayor"),CONCATENATE("R2C",'Mapa final'!$U$77),"")</f>
        <v/>
      </c>
      <c r="AI51" s="47" t="str">
        <f>IF(AND('Mapa final'!$AL$71="Baja",'Mapa final'!$AN$71="Catastrófico"),CONCATENATE("R2C",'Mapa final'!$U$71),"")</f>
        <v/>
      </c>
      <c r="AJ51" s="48" t="str">
        <f>IF(AND('Mapa final'!$AL$72="Baja",'Mapa final'!$AN$72="Catastrófico"),CONCATENATE("R2C",'Mapa final'!$U$72),"")</f>
        <v/>
      </c>
      <c r="AK51" s="48" t="str">
        <f>IF(AND('Mapa final'!$AL$73="Baja",'Mapa final'!$AN$73="Catastrófico"),CONCATENATE("R2C",'Mapa final'!$U$73),"")</f>
        <v/>
      </c>
      <c r="AL51" s="48" t="str">
        <f>IF(AND('Mapa final'!$AL$74="Baja",'Mapa final'!$AN$74="Catastrófico"),CONCATENATE("R2C",'Mapa final'!$U$74),"")</f>
        <v/>
      </c>
      <c r="AM51" s="48" t="str">
        <f>IF(AND('Mapa final'!$AL$76="Baja",'Mapa final'!$AN$76="Catastrófico"),CONCATENATE("R2C",'Mapa final'!$U$76),"")</f>
        <v/>
      </c>
      <c r="AN51" s="49" t="str">
        <f>IF(AND('Mapa final'!$AL$77="Baja",'Mapa final'!$AN$77="Catastrófico"),CONCATENATE("R2C",'Mapa final'!$U$77),"")</f>
        <v/>
      </c>
      <c r="AO51" s="69"/>
      <c r="AP51" s="497"/>
      <c r="AQ51" s="498"/>
      <c r="AR51" s="498"/>
      <c r="AS51" s="498"/>
      <c r="AT51" s="498"/>
      <c r="AU51" s="499"/>
    </row>
    <row r="52" spans="2:81" ht="41.25" customHeight="1" x14ac:dyDescent="0.35">
      <c r="B52" s="69"/>
      <c r="C52" s="419"/>
      <c r="D52" s="419"/>
      <c r="E52" s="420"/>
      <c r="F52" s="459" t="s">
        <v>112</v>
      </c>
      <c r="G52" s="460"/>
      <c r="H52" s="460"/>
      <c r="I52" s="460"/>
      <c r="J52" s="461"/>
      <c r="K52" s="59" t="str">
        <f>IF(AND('Mapa final'!$AL$15="Muy Baja",'Mapa final'!$AN$15="Leve"),CONCATENATE("R2C",'Mapa final'!$U$15),"")</f>
        <v/>
      </c>
      <c r="L52" s="60" t="str">
        <f>IF(AND('Mapa final'!$AL$16="Muy Baja",'Mapa final'!$AN$16="Leve"),CONCATENATE("R2C",'Mapa final'!$D$16),"")</f>
        <v/>
      </c>
      <c r="M52" s="60" t="str">
        <f>IF(AND('Mapa final'!$AL$17="Muy Baja",'Mapa final'!$AN$17="Leve"),CONCATENATE("R2C",'Mapa final'!$D$17),"")</f>
        <v/>
      </c>
      <c r="N52" s="60" t="str">
        <f>IF(AND('Mapa final'!$AL$18="Muy Baja",'Mapa final'!$AN$18="Leve"),CONCATENATE("R2C",'Mapa final'!$U$18),"")</f>
        <v/>
      </c>
      <c r="O52" s="60" t="str">
        <f>IF(AND('Mapa final'!$AL$19="Muy Baja",'Mapa final'!$AN$19="Leve"),CONCATENATE("R2C",'Mapa final'!$U$19),"")</f>
        <v/>
      </c>
      <c r="P52" s="61" t="str">
        <f>IF(AND('Mapa final'!$AL$20="Muy Baja",'Mapa final'!$AN$20="Leve"),CONCATENATE("R2C",'Mapa final'!$U$20),"")</f>
        <v/>
      </c>
      <c r="Q52" s="59" t="str">
        <f>IF(AND('Mapa final'!$AL$15="Muy Baja",'Mapa final'!$AN$15="Menor"),CONCATENATE("R2C",'Mapa final'!$U$15),"")</f>
        <v/>
      </c>
      <c r="R52" s="60" t="str">
        <f>IF(AND('Mapa final'!$AL$16="Muy Baja",'Mapa final'!$AN$16="Menore"),CONCATENATE("R2C",'Mapa final'!$U$16),"")</f>
        <v/>
      </c>
      <c r="S52" s="60" t="str">
        <f>IF(AND('Mapa final'!$AL$17="Muy Baja",'Mapa final'!$AN$17="Menor"),CONCATENATE("R2C",'Mapa final'!$D$17),"")</f>
        <v/>
      </c>
      <c r="T52" s="60" t="str">
        <f>IF(AND('Mapa final'!$AL$18="Muy Baja",'Mapa final'!$AN$18="Menor"),CONCATENATE("R2C",'Mapa final'!$U$18),"")</f>
        <v/>
      </c>
      <c r="U52" s="60" t="str">
        <f>IF(AND('Mapa final'!$AL$19="Muy Baja",'Mapa final'!$AN$19="Menor"),CONCATENATE("R2C",'Mapa final'!$U$19),"")</f>
        <v/>
      </c>
      <c r="V52" s="61" t="str">
        <f>IF(AND('Mapa final'!$AL$20="Muy Baja",'Mapa final'!$AN$20="Menor"),CONCATENATE("R2C",'Mapa final'!$U$20),"")</f>
        <v/>
      </c>
      <c r="W52" s="50" t="str">
        <f>IF(AND('Mapa final'!$AL$15="Muy Baja",'Mapa final'!$AN$15="Moderado"),CONCATENATE("R2C",'Mapa final'!$U$15),"")</f>
        <v/>
      </c>
      <c r="X52" s="68" t="str">
        <f>IF(AND('Mapa final'!$AL$16="Muy Baja",'Mapa final'!$AN$16="Moderado"),CONCATENATE("R2C",'Mapa final'!$U$16),"")</f>
        <v/>
      </c>
      <c r="Y52" s="51"/>
      <c r="Z52" s="51" t="str">
        <f>IF(AND('Mapa final'!$AL$18="Muy Baja",'Mapa final'!$AN$18="Moderado"),CONCATENATE("R2C",'Mapa final'!$U$18),"")</f>
        <v/>
      </c>
      <c r="AA52" s="51" t="str">
        <f>IF(AND('Mapa final'!$AL$19="Muy Baja",'Mapa final'!$AN$19="Moderado"),CONCATENATE("R2C",'Mapa final'!$U$19),"")</f>
        <v/>
      </c>
      <c r="AB52" s="52" t="str">
        <f>IF(AND('Mapa final'!$AL$20="Muy Baja",'Mapa final'!$AN$20="Moderado"),CONCATENATE("R2C",'Mapa final'!$U$20),"")</f>
        <v/>
      </c>
      <c r="AC52" s="32" t="str">
        <f>IF(AND('Mapa final'!$AL$15="Muy Baja",'Mapa final'!$AN$15="Mayor"),CONCATENATE("R2C",'Mapa final'!$U$15),"")</f>
        <v/>
      </c>
      <c r="AD52" s="33" t="str">
        <f>IF(AND('Mapa final'!$AL$16="Muy Baja",'Mapa final'!$AN$16="Mayor"),CONCATENATE("R2C",'Mapa final'!$U$16),"")</f>
        <v/>
      </c>
      <c r="AE52" s="33" t="str">
        <f>IF(AND('Mapa final'!$AL$17="Muy Baja",'Mapa final'!$AN$17="Mayor"),CONCATENATE("R2C",'Mapa final'!$U$17),"")</f>
        <v/>
      </c>
      <c r="AF52" s="33" t="str">
        <f>IF(AND('Mapa final'!$AL$18="Muy Baja",'Mapa final'!$AN$18="Mayor"),CONCATENATE("R2C",'Mapa final'!$U$18),"")</f>
        <v/>
      </c>
      <c r="AG52" s="33" t="str">
        <f>IF(AND('Mapa final'!$AL$19="Muy Baja",'Mapa final'!$AN$19="Mayor"),CONCATENATE("R2C",'Mapa final'!$U$19),"")</f>
        <v/>
      </c>
      <c r="AH52" s="34" t="str">
        <f>IF(AND('Mapa final'!$AL$20="Muy Baja",'Mapa final'!$AN$20="Mayor"),CONCATENATE("R2C",'Mapa final'!$U$20),"")</f>
        <v/>
      </c>
      <c r="AI52" s="35" t="str">
        <f>IF(AND('Mapa final'!$AL$15="Muy Baja",'Mapa final'!$AN$15="Catastrófico"),CONCATENATE("R2C",'Mapa final'!$U$15),"")</f>
        <v/>
      </c>
      <c r="AJ52" s="36" t="str">
        <f>IF(AND('Mapa final'!$AL$16="Muy Baja",'Mapa final'!$AN$16="Catastrófico"),CONCATENATE("R2C",'Mapa final'!$U$16),"")</f>
        <v/>
      </c>
      <c r="AK52" s="36"/>
      <c r="AL52" s="36"/>
      <c r="AM52" s="36" t="str">
        <f>IF(AND('Mapa final'!$AL$19="Muy Baja",'Mapa final'!$AN$19="Catastrófico"),CONCATENATE("R2C",'Mapa final'!$U$19),"")</f>
        <v/>
      </c>
      <c r="AN52" s="37" t="str">
        <f>IF(AND('Mapa final'!$AL$20="Muy Baja",'Mapa final'!$AN$20="Catastrófico"),CONCATENATE("R2C",'Mapa final'!$U$20),"")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419"/>
      <c r="D53" s="419"/>
      <c r="E53" s="420"/>
      <c r="F53" s="478"/>
      <c r="G53" s="463"/>
      <c r="H53" s="463"/>
      <c r="I53" s="463"/>
      <c r="J53" s="464"/>
      <c r="K53" s="62" t="str">
        <f>IF(AND('Mapa final'!$AL$23="Muy Baja",'Mapa final'!$AN$23="Leve"),CONCATENATE("R2C",'Mapa final'!$U$23),"")</f>
        <v/>
      </c>
      <c r="L53" s="63" t="str">
        <f>IF(AND('Mapa final'!$AL$24="Muy Baja",'Mapa final'!$AN$24="Leve"),CONCATENATE("R2C",'Mapa final'!$D$24),"")</f>
        <v>R2C6</v>
      </c>
      <c r="M53" s="63" t="str">
        <f>IF(AND('Mapa final'!$AL$25="Muy Baja",'Mapa final'!$AN$25="Leve"),CONCATENATE("R2C",'Mapa final'!$U$25),"")</f>
        <v/>
      </c>
      <c r="N53" s="63" t="str">
        <f>IF(AND('Mapa final'!$AL$26="Muy Baja",'Mapa final'!$AN$26="Leve"),CONCATENATE("R2C",'Mapa final'!$U$26),"")</f>
        <v/>
      </c>
      <c r="O53" s="63" t="str">
        <f>IF(AND('Mapa final'!$AL$27="Muy Baja",'Mapa final'!$AN$27="Leve"),CONCATENATE("R2C",'Mapa final'!$U$27),"")</f>
        <v/>
      </c>
      <c r="P53" s="64" t="str">
        <f>IF(AND('Mapa final'!$AL$28="Muy Baja",'Mapa final'!$AN$28="Leve"),CONCATENATE("R2C",'Mapa final'!$U$28),"")</f>
        <v/>
      </c>
      <c r="Q53" s="62" t="str">
        <f>IF(AND('Mapa final'!$AL$23="Muy Baja",'Mapa final'!$AN$23="Menor"),CONCATENATE("R2C",'Mapa final'!$U$23),"")</f>
        <v/>
      </c>
      <c r="R53" s="63" t="str">
        <f>IF(AND('Mapa final'!$AL$24="Muy Baja",'Mapa final'!$AN$24="Menor"),CONCATENATE("R2C",'Mapa final'!$U$24),"")</f>
        <v/>
      </c>
      <c r="S53" s="63" t="str">
        <f>IF(AND('Mapa final'!$AL$25="Muy Baja",'Mapa final'!$AN$25="Menor"),CONCATENATE("R2C",'Mapa final'!$U$25),"")</f>
        <v/>
      </c>
      <c r="T53" s="63" t="str">
        <f>IF(AND('Mapa final'!$AL$26="Muy Baja",'Mapa final'!$AN$26="Menor"),CONCATENATE("R2C",'Mapa final'!$U$26),"")</f>
        <v/>
      </c>
      <c r="U53" s="63" t="str">
        <f>IF(AND('Mapa final'!$AL$27="Muy Baja",'Mapa final'!$AN$27="Menor"),CONCATENATE("R2C",'Mapa final'!$U$27),"")</f>
        <v/>
      </c>
      <c r="V53" s="64" t="str">
        <f>IF(AND('Mapa final'!$AL$28="Muy Baja",'Mapa final'!$AN$28="Menor"),CONCATENATE("R2C",'Mapa final'!$U$28),"")</f>
        <v/>
      </c>
      <c r="W53" s="53" t="str">
        <f>IF(AND('Mapa final'!$AL$23="Muy Baja",'Mapa final'!$AN$23="Moderado"),CONCATENATE("R2C",'Mapa final'!$U$23),"")</f>
        <v/>
      </c>
      <c r="X53" s="54" t="str">
        <f>IF(AND('Mapa final'!$AL$24="Muy Baja",'Mapa final'!$AN$24="Moderado"),CONCATENATE("R2C",'Mapa final'!$U$24),"")</f>
        <v/>
      </c>
      <c r="Y53" s="54" t="str">
        <f>IF(AND('Mapa final'!$AL$25="Muy Baja",'Mapa final'!$AN$25="Moderado"),CONCATENATE("R2C",'Mapa final'!$U$25),"")</f>
        <v/>
      </c>
      <c r="Z53" s="54" t="str">
        <f>IF(AND('Mapa final'!$AL$26="Muy Baja",'Mapa final'!$AN$26="Moderado"),CONCATENATE("R2C",'Mapa final'!$U$26),"")</f>
        <v/>
      </c>
      <c r="AA53" s="54" t="str">
        <f>IF(AND('Mapa final'!$AL$27="Muy Baja",'Mapa final'!$AN$27="Moderado"),CONCATENATE("R2C",'Mapa final'!$U$27),"")</f>
        <v/>
      </c>
      <c r="AB53" s="55" t="str">
        <f>IF(AND('Mapa final'!$AL$28="Muy Baja",'Mapa final'!$AN$28="Moderado"),CONCATENATE("R2C",'Mapa final'!$U$28),"")</f>
        <v/>
      </c>
      <c r="AC53" s="38" t="str">
        <f>IF(AND('Mapa final'!$AL$23="Muy Baja",'Mapa final'!$AN$23="Mayor"),CONCATENATE("R2C",'Mapa final'!$U$23),"")</f>
        <v/>
      </c>
      <c r="AD53" s="39" t="str">
        <f>IF(AND('Mapa final'!$AL$24="Muy Baja",'Mapa final'!$AN$24="Mayor"),CONCATENATE("R2C",'Mapa final'!$U$24),"")</f>
        <v/>
      </c>
      <c r="AE53" s="39" t="str">
        <f>IF(AND('Mapa final'!$AL$25="Muy Baja",'Mapa final'!$AN$25="Mayor"),CONCATENATE("R2C",'Mapa final'!$U$25),"")</f>
        <v/>
      </c>
      <c r="AF53" s="39" t="str">
        <f>IF(AND('Mapa final'!$AL$26="Muy Baja",'Mapa final'!$AN$26="Mayor"),CONCATENATE("R2C",'Mapa final'!$U$26),"")</f>
        <v/>
      </c>
      <c r="AG53" s="39" t="str">
        <f>IF(AND('Mapa final'!$AL$27="Muy Baja",'Mapa final'!$AN$27="Mayor"),CONCATENATE("R2C",'Mapa final'!$U$27),"")</f>
        <v/>
      </c>
      <c r="AH53" s="40" t="str">
        <f>IF(AND('Mapa final'!$AL$28="Muy Baja",'Mapa final'!$AN$28="Mayor"),CONCATENATE("R2C",'Mapa final'!$U$28),"")</f>
        <v/>
      </c>
      <c r="AI53" s="41" t="str">
        <f>IF(AND('Mapa final'!$AL$23="Muy Baja",'Mapa final'!$AN$23="Catastrófico"),CONCATENATE("R2C",'Mapa final'!$U$23),"")</f>
        <v/>
      </c>
      <c r="AJ53" s="42" t="str">
        <f>IF(AND('Mapa final'!$AL$24="Muy Baja",'Mapa final'!$AN$24="Catastrófico"),CONCATENATE("R2C",'Mapa final'!$U$24),"")</f>
        <v/>
      </c>
      <c r="AK53" s="42" t="str">
        <f>IF(AND('Mapa final'!$AL$25="Muy Baja",'Mapa final'!$AN$25="Catastrófico"),CONCATENATE("R2C",'Mapa final'!$U$25),"")</f>
        <v/>
      </c>
      <c r="AL53" s="42" t="str">
        <f>IF(AND('Mapa final'!$AL$26="Muy Baja",'Mapa final'!$AN$26="Catastrófico"),CONCATENATE("R2C",'Mapa final'!$U$26),"")</f>
        <v/>
      </c>
      <c r="AM53" s="42" t="str">
        <f>IF(AND('Mapa final'!$AL$27="Muy Baja",'Mapa final'!$AN$27="Catastrófico"),CONCATENATE("R2C",'Mapa final'!$U$27),"")</f>
        <v/>
      </c>
      <c r="AN53" s="43" t="str">
        <f>IF(AND('Mapa final'!$AL$28="Muy Baja",'Mapa final'!$AN$28="Catastrófico"),CONCATENATE("R2C",'Mapa final'!$U$28),"")</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419"/>
      <c r="D54" s="419"/>
      <c r="E54" s="420"/>
      <c r="F54" s="478"/>
      <c r="G54" s="463"/>
      <c r="H54" s="463"/>
      <c r="I54" s="463"/>
      <c r="J54" s="464"/>
      <c r="K54" s="62" t="str">
        <f>IF(AND('Mapa final'!$AL$29="Muy Baja",'Mapa final'!$AN$29="Leve"),CONCATENATE("R2C",'Mapa final'!$U$29),"")</f>
        <v/>
      </c>
      <c r="L54" s="63" t="str">
        <f>IF(AND('Mapa final'!$AL$30="Muy Baja",'Mapa final'!$AN$30="Leve"),CONCATENATE("R2C",'Mapa final'!$U$30),"")</f>
        <v/>
      </c>
      <c r="M54" s="63" t="str">
        <f>IF(AND('Mapa final'!$AL$31="Muy Baja",'Mapa final'!$AN$31="Leve"),CONCATENATE("R2C",'Mapa final'!$U$31),"")</f>
        <v/>
      </c>
      <c r="N54" s="63" t="str">
        <f>IF(AND('Mapa final'!$AL$32="Muy Baja",'Mapa final'!$AN$32="Leve"),CONCATENATE("R2C",'Mapa final'!$U$32),"")</f>
        <v/>
      </c>
      <c r="O54" s="63" t="str">
        <f>IF(AND('Mapa final'!$AL$33="Muy Baja",'Mapa final'!$AN$33="Leve"),CONCATENATE("R2C",'Mapa final'!$U$33),"")</f>
        <v/>
      </c>
      <c r="P54" s="64" t="str">
        <f>IF(AND('Mapa final'!$AL$34="Muy Baja",'Mapa final'!$AN$34="Leve"),CONCATENATE("R2C",'Mapa final'!$U$34),"")</f>
        <v/>
      </c>
      <c r="Q54" s="62" t="str">
        <f>IF(AND('Mapa final'!$AL$29="Muy Baja",'Mapa final'!$AN$29="Menor"),CONCATENATE("R2C",'Mapa final'!$U$29),"")</f>
        <v/>
      </c>
      <c r="R54" s="63" t="str">
        <f>IF(AND('Mapa final'!$AL$30="Muy Baja",'Mapa final'!$AN$30="Menor"),CONCATENATE("R2C",'Mapa final'!$U$30),"")</f>
        <v/>
      </c>
      <c r="S54" s="63" t="str">
        <f>IF(AND('Mapa final'!$AL$31="Muy Baja",'Mapa final'!$AN$31="Menor"),CONCATENATE("R2C",'Mapa final'!$U$31),"")</f>
        <v/>
      </c>
      <c r="T54" s="63" t="str">
        <f>IF(AND('Mapa final'!$AL$32="Muy Baja",'Mapa final'!$AN$32="Menor"),CONCATENATE("R2C",'Mapa final'!$U$32),"")</f>
        <v/>
      </c>
      <c r="U54" s="63" t="str">
        <f>IF(AND('Mapa final'!$AL$33="Muy Baja",'Mapa final'!$AN$33="Menor"),CONCATENATE("R2C",'Mapa final'!$U$33),"")</f>
        <v/>
      </c>
      <c r="V54" s="64" t="str">
        <f>IF(AND('Mapa final'!$AL$34="Muy Baja",'Mapa final'!$AN$34="Menor"),CONCATENATE("R2C",'Mapa final'!$U$34),"")</f>
        <v/>
      </c>
      <c r="W54" s="53" t="str">
        <f>IF(AND('Mapa final'!$AL$29="Muy Baja",'Mapa final'!$AN$29="Moderado"),CONCATENATE("R2C",'Mapa final'!$U$29),"")</f>
        <v/>
      </c>
      <c r="X54" s="54" t="str">
        <f>IF(AND('Mapa final'!$AL$30="Muy Baja",'Mapa final'!$AN$30="Moderado"),CONCATENATE("R2C",'Mapa final'!$U$30),"")</f>
        <v/>
      </c>
      <c r="Y54" s="54" t="str">
        <f>IF(AND('Mapa final'!$AL$31="Muy Baja",'Mapa final'!$AN$31="Moderado"),CONCATENATE("R2C",'Mapa final'!$U$31),"")</f>
        <v/>
      </c>
      <c r="Z54" s="54" t="str">
        <f>IF(AND('Mapa final'!$AL$32="Muy Baja",'Mapa final'!$AN$32="Moderado"),CONCATENATE("R2C",'Mapa final'!$U$32),"")</f>
        <v/>
      </c>
      <c r="AA54" s="54" t="str">
        <f>IF(AND('Mapa final'!$AL$33="Muy Baja",'Mapa final'!$AN$33="Moderado"),CONCATENATE("R2C",'Mapa final'!$U$33),"")</f>
        <v/>
      </c>
      <c r="AB54" s="55" t="str">
        <f>IF(AND('Mapa final'!$AL$34="Muy Baja",'Mapa final'!$AN$34="Moderado"),CONCATENATE("R2C",'Mapa final'!$U$34),"")</f>
        <v/>
      </c>
      <c r="AC54" s="38" t="str">
        <f>IF(AND('Mapa final'!$AL$29="Muy Baja",'Mapa final'!$AN$29="Mayor"),CONCATENATE("R2C",'Mapa final'!$U$29),"")</f>
        <v/>
      </c>
      <c r="AD54" s="39" t="str">
        <f>IF(AND('Mapa final'!$AL$30="Muy Baja",'Mapa final'!$AN$30="Mayor"),CONCATENATE("R2C",'Mapa final'!$U$30),"")</f>
        <v/>
      </c>
      <c r="AE54" s="39" t="str">
        <f>IF(AND('Mapa final'!$AL$31="Muy Baja",'Mapa final'!$AN$31="Mayor"),CONCATENATE("R2C",'Mapa final'!$U$31),"")</f>
        <v/>
      </c>
      <c r="AF54" s="39" t="str">
        <f>IF(AND('Mapa final'!$AL$32="Muy Baja",'Mapa final'!$AN$32="Mayor"),CONCATENATE("R2C",'Mapa final'!$U$32),"")</f>
        <v/>
      </c>
      <c r="AG54" s="39" t="str">
        <f>IF(AND('Mapa final'!$AL$33="Muy Baja",'Mapa final'!$AN$33="Mayor"),CONCATENATE("R2C",'Mapa final'!$U$33),"")</f>
        <v/>
      </c>
      <c r="AH54" s="40" t="str">
        <f>IF(AND('Mapa final'!$AL$34="Muy Baja",'Mapa final'!$AN$34="Mayor"),CONCATENATE("R2C",'Mapa final'!$U$34),"")</f>
        <v/>
      </c>
      <c r="AI54" s="41" t="str">
        <f>IF(AND('Mapa final'!$AL$29="Muy Baja",'Mapa final'!$AN$29="Catastrófico"),CONCATENATE("R2C",'Mapa final'!$U$29),"")</f>
        <v/>
      </c>
      <c r="AJ54" s="42" t="str">
        <f>IF(AND('Mapa final'!$AL$30="Muy Baja",'Mapa final'!$AN$30="Catastrófico"),CONCATENATE("R2C",'Mapa final'!$U$30),"")</f>
        <v/>
      </c>
      <c r="AK54" s="42" t="str">
        <f>IF(AND('Mapa final'!$AL$31="Muy Baja",'Mapa final'!$AN$31="Catastrófico"),CONCATENATE("R2C",'Mapa final'!$U$31),"")</f>
        <v/>
      </c>
      <c r="AL54" s="42" t="str">
        <f>IF(AND('Mapa final'!$AL$32="Muy Baja",'Mapa final'!$AN$32="Catastrófico"),CONCATENATE("R2C",'Mapa final'!$U$32),"")</f>
        <v/>
      </c>
      <c r="AM54" s="42" t="str">
        <f>IF(AND('Mapa final'!$AL$33="Muy Baja",'Mapa final'!$AN$33="Catastrófico"),CONCATENATE("R2C",'Mapa final'!$U$33),"")</f>
        <v/>
      </c>
      <c r="AN54" s="43" t="str">
        <f>IF(AND('Mapa final'!$AL$34="Muy Baja",'Mapa final'!$AN$34="Catastrófico"),CONCATENATE("R2C",'Mapa final'!$U$34),"")</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419"/>
      <c r="D55" s="419"/>
      <c r="E55" s="420"/>
      <c r="F55" s="462"/>
      <c r="G55" s="463"/>
      <c r="H55" s="463"/>
      <c r="I55" s="463"/>
      <c r="J55" s="464"/>
      <c r="K55" s="62" t="str">
        <f>IF(AND('Mapa final'!$AL$35="Muy Baja",'Mapa final'!$AN$35="Leve"),CONCATENATE("R2C",'Mapa final'!$U$35),"")</f>
        <v/>
      </c>
      <c r="L55" s="63" t="str">
        <f>IF(AND('Mapa final'!$AL$36="Muy Baja",'Mapa final'!$AN$36="Leve"),CONCATENATE("R2C",'Mapa final'!$U$36),"")</f>
        <v/>
      </c>
      <c r="M55" s="63" t="str">
        <f>IF(AND('Mapa final'!$AL$37="Muy Baja",'Mapa final'!$AN$37="Leve"),CONCATENATE("R2C",'Mapa final'!$U$37),"")</f>
        <v/>
      </c>
      <c r="N55" s="63" t="str">
        <f>IF(AND('Mapa final'!$AL$38="Muy Baja",'Mapa final'!$AN$38="Leve"),CONCATENATE("R2C",'Mapa final'!$U$38),"")</f>
        <v/>
      </c>
      <c r="O55" s="63" t="str">
        <f>IF(AND('Mapa final'!$AL$39="Muy Baja",'Mapa final'!$AN$39="Leve"),CONCATENATE("R2C",'Mapa final'!$U$39),"")</f>
        <v/>
      </c>
      <c r="P55" s="64" t="str">
        <f>IF(AND('Mapa final'!$AL$40="Muy Baja",'Mapa final'!$AN$40="Leve"),CONCATENATE("R2C",'Mapa final'!$U$40),"")</f>
        <v/>
      </c>
      <c r="Q55" s="62" t="str">
        <f>IF(AND('Mapa final'!$AL$35="Muy Baja",'Mapa final'!$AN$35="Menor"),CONCATENATE("R2C",'Mapa final'!$U$35),"")</f>
        <v/>
      </c>
      <c r="R55" s="63" t="str">
        <f>IF(AND('Mapa final'!$AL$36="Muy Baja",'Mapa final'!$AN$36="Menor"),CONCATENATE("R2C",'Mapa final'!$U$36),"")</f>
        <v/>
      </c>
      <c r="S55" s="63" t="str">
        <f>IF(AND('Mapa final'!$AL$37="Muy Baja",'Mapa final'!$AN$37="Menor"),CONCATENATE("R2C",'Mapa final'!$U$37),"")</f>
        <v/>
      </c>
      <c r="T55" s="63" t="str">
        <f>IF(AND('Mapa final'!$AL$38="Muy Baja",'Mapa final'!$AN$38="Menor"),CONCATENATE("R2C",'Mapa final'!$U$38),"")</f>
        <v/>
      </c>
      <c r="U55" s="63" t="str">
        <f>IF(AND('Mapa final'!$AL$39="Muy Baja",'Mapa final'!$AN$39="LMenor"),CONCATENATE("R2C",'Mapa final'!$U$39),"")</f>
        <v/>
      </c>
      <c r="V55" s="64" t="str">
        <f>IF(AND('Mapa final'!$AL$40="Muy Baja",'Mapa final'!$AN$40="Menor"),CONCATENATE("R2C",'Mapa final'!$U$40),"")</f>
        <v/>
      </c>
      <c r="W55" s="53" t="str">
        <f>IF(AND('Mapa final'!$AL$35="Muy Baja",'Mapa final'!$AN$35="Moderado"),CONCATENATE("R2C",'Mapa final'!$U$35),"")</f>
        <v/>
      </c>
      <c r="X55" s="54" t="str">
        <f>IF(AND('Mapa final'!$AL$36="Muy Baja",'Mapa final'!$AN$36="Moderado"),CONCATENATE("R2C",'Mapa final'!$U$36),"")</f>
        <v/>
      </c>
      <c r="Y55" s="54" t="str">
        <f>IF(AND('Mapa final'!$AL$37="Muy Baja",'Mapa final'!$AN$37="Moderado"),CONCATENATE("R2C",'Mapa final'!$U$37),"")</f>
        <v/>
      </c>
      <c r="Z55" s="54" t="str">
        <f>IF(AND('Mapa final'!$AL$38="Muy Baja",'Mapa final'!$AN$38="Moderado"),CONCATENATE("R2C",'Mapa final'!$U$38),"")</f>
        <v/>
      </c>
      <c r="AA55" s="54" t="str">
        <f>IF(AND('Mapa final'!$AL$39="Muy Baja",'Mapa final'!$AN$39="Moderado"),CONCATENATE("R2C",'Mapa final'!$U$39),"")</f>
        <v/>
      </c>
      <c r="AB55" s="55" t="str">
        <f>IF(AND('Mapa final'!$AL$40="Muy Baja",'Mapa final'!$AN$40="Moderado"),CONCATENATE("R2C",'Mapa final'!$U$40),"")</f>
        <v/>
      </c>
      <c r="AC55" s="38" t="str">
        <f>IF(AND('Mapa final'!$AL$35="Muy Baja",'Mapa final'!$AN$35="Mayor"),CONCATENATE("R2C",'Mapa final'!$U$35),"")</f>
        <v/>
      </c>
      <c r="AD55" s="39" t="str">
        <f>IF(AND('Mapa final'!$AL$36="Muy Baja",'Mapa final'!$AN$36="Mayor"),CONCATENATE("R2C",'Mapa final'!$U$36),"")</f>
        <v/>
      </c>
      <c r="AE55" s="39" t="str">
        <f>IF(AND('Mapa final'!$AL$37="Muy Baja",'Mapa final'!$AN$37="Mayor"),CONCATENATE("R2C",'Mapa final'!$U$37),"")</f>
        <v/>
      </c>
      <c r="AF55" s="39" t="str">
        <f>IF(AND('Mapa final'!$AL$38="Muy Baja",'Mapa final'!$AN$38="Mayor"),CONCATENATE("R2C",'Mapa final'!$U$38),"")</f>
        <v/>
      </c>
      <c r="AG55" s="39" t="str">
        <f>IF(AND('Mapa final'!$AL$39="Muy Baja",'Mapa final'!$AN$39="Mayor"),CONCATENATE("R2C",'Mapa final'!$U$39),"")</f>
        <v/>
      </c>
      <c r="AH55" s="40" t="str">
        <f>IF(AND('Mapa final'!$AL$40="Muy Baja",'Mapa final'!$AN$40="Mayor"),CONCATENATE("R2C",'Mapa final'!$U$40),"")</f>
        <v/>
      </c>
      <c r="AI55" s="41" t="str">
        <f>IF(AND('Mapa final'!$AL$35="Muy Baja",'Mapa final'!$AN$35="Catastrófico"),CONCATENATE("R2C",'Mapa final'!$U$35),"")</f>
        <v/>
      </c>
      <c r="AJ55" s="42" t="str">
        <f>IF(AND('Mapa final'!$AL$36="Muy Baja",'Mapa final'!$AN$36="Catastrófico"),CONCATENATE("R2C",'Mapa final'!$U$36),"")</f>
        <v/>
      </c>
      <c r="AK55" s="42" t="str">
        <f>IF(AND('Mapa final'!$AL$37="Muy Baja",'Mapa final'!$AN$37="Catastrófico"),CONCATENATE("R2C",'Mapa final'!$U$37),"")</f>
        <v/>
      </c>
      <c r="AL55" s="42" t="str">
        <f>IF(AND('Mapa final'!$AL$38="Muy Baja",'Mapa final'!$AN$38="Catastrófico"),CONCATENATE("R2C",'Mapa final'!$U$38),"")</f>
        <v/>
      </c>
      <c r="AM55" s="42" t="str">
        <f>IF(AND('Mapa final'!$AL$39="Muy Baja",'Mapa final'!$AN$39="LCatastrófico"),CONCATENATE("R2C",'Mapa final'!$U$39),"")</f>
        <v/>
      </c>
      <c r="AN55" s="43" t="str">
        <f>IF(AND('Mapa final'!$AL$40="Muy Baja",'Mapa final'!$AN$40="Catastrófico"),CONCATENATE("R2C",'Mapa final'!$U$40),"")</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419"/>
      <c r="D56" s="419"/>
      <c r="E56" s="420"/>
      <c r="F56" s="462"/>
      <c r="G56" s="463"/>
      <c r="H56" s="463"/>
      <c r="I56" s="463"/>
      <c r="J56" s="464"/>
      <c r="K56" s="62" t="str">
        <f>IF(AND('Mapa final'!$AL$41="Muy Baja",'Mapa final'!$AN$41="Leve"),CONCATENATE("R2C",'Mapa final'!$U$41),"")</f>
        <v/>
      </c>
      <c r="L56" s="63" t="str">
        <f>IF(AND('Mapa final'!$AL$42="Muy Baja",'Mapa final'!$AN$42="Leve"),CONCATENATE("R2C",'Mapa final'!$U$42),"")</f>
        <v/>
      </c>
      <c r="M56" s="63" t="str">
        <f>IF(AND('Mapa final'!$AL$43="Muy Baja",'Mapa final'!$AN$43="Leve"),CONCATENATE("R2C",'Mapa final'!$U$43),"")</f>
        <v/>
      </c>
      <c r="N56" s="63" t="str">
        <f>IF(AND('Mapa final'!$AL$44="Muy Baja",'Mapa final'!$AN$44="Leve"),CONCATENATE("R2C",'Mapa final'!$U$44),"")</f>
        <v/>
      </c>
      <c r="O56" s="63" t="str">
        <f>IF(AND('Mapa final'!$AL$45="Muy Baja",'Mapa final'!$AN$45="Leve"),CONCATENATE("R2C",'Mapa final'!$U$45),"")</f>
        <v/>
      </c>
      <c r="P56" s="64" t="str">
        <f>IF(AND('Mapa final'!$AL$46="Muy Baja",'Mapa final'!$AN$46="Leve"),CONCATENATE("R2C",'Mapa final'!$U$46),"")</f>
        <v/>
      </c>
      <c r="Q56" s="62" t="str">
        <f>IF(AND('Mapa final'!$AL$41="Muy Baja",'Mapa final'!$AN$41="Menor"),CONCATENATE("R2C",'Mapa final'!$U$41),"")</f>
        <v/>
      </c>
      <c r="R56" s="63" t="str">
        <f>IF(AND('Mapa final'!$AL$42="Muy Baja",'Mapa final'!$AN$42="Menor"),CONCATENATE("R2C",'Mapa final'!$U$42),"")</f>
        <v/>
      </c>
      <c r="S56" s="63" t="str">
        <f>IF(AND('Mapa final'!$AL$43="Muy Baja",'Mapa final'!$AN$43="Menor"),CONCATENATE("R2C",'Mapa final'!$U$43),"")</f>
        <v/>
      </c>
      <c r="T56" s="63" t="str">
        <f>IF(AND('Mapa final'!$AL$44="Muy Baja",'Mapa final'!$AN$44="Menor"),CONCATENATE("R2C",'Mapa final'!$U$44),"")</f>
        <v/>
      </c>
      <c r="U56" s="63" t="str">
        <f>IF(AND('Mapa final'!$AL$45="Muy Baja",'Mapa final'!$AN$45="Menor"),CONCATENATE("R2C",'Mapa final'!$U$45),"")</f>
        <v/>
      </c>
      <c r="V56" s="64" t="str">
        <f>IF(AND('Mapa final'!$AL$46="Muy Baja",'Mapa final'!$AN$46="Menor"),CONCATENATE("R2C",'Mapa final'!$U$46),"")</f>
        <v/>
      </c>
      <c r="W56" s="53" t="str">
        <f>IF(AND('Mapa final'!$AL$41="Muy Baja",'Mapa final'!$AN$41="Moderado"),CONCATENATE("R2C",'Mapa final'!$U$41),"")</f>
        <v/>
      </c>
      <c r="X56" s="54" t="str">
        <f>IF(AND('Mapa final'!$AL$42="Muy Baja",'Mapa final'!$AN$42="Moderado"),CONCATENATE("R2C",'Mapa final'!$U$42),"")</f>
        <v/>
      </c>
      <c r="Y56" s="54" t="str">
        <f>IF(AND('Mapa final'!$AL$43="Muy Baja",'Mapa final'!$AN$43="Moderado"),CONCATENATE("R2C",'Mapa final'!$U$43),"")</f>
        <v/>
      </c>
      <c r="Z56" s="54" t="str">
        <f>IF(AND('Mapa final'!$AL$44="Muy Baja",'Mapa final'!$AN$44="Moderado"),CONCATENATE("R2C",'Mapa final'!$U$44),"")</f>
        <v/>
      </c>
      <c r="AA56" s="54" t="str">
        <f>IF(AND('Mapa final'!$AL$45="Muy Baja",'Mapa final'!$AN$45="Moderado"),CONCATENATE("R2C",'Mapa final'!$U$45),"")</f>
        <v/>
      </c>
      <c r="AB56" s="55" t="str">
        <f>IF(AND('Mapa final'!$AL$46="Muy Baja",'Mapa final'!$AN$46="Moderado"),CONCATENATE("R2C",'Mapa final'!$U$46),"")</f>
        <v/>
      </c>
      <c r="AC56" s="38" t="str">
        <f>IF(AND('Mapa final'!$AL$41="Muy Baja",'Mapa final'!$AN$41="Mayor"),CONCATENATE("R2C",'Mapa final'!$U$41),"")</f>
        <v/>
      </c>
      <c r="AD56" s="39" t="str">
        <f>IF(AND('Mapa final'!$AL$42="Muy Baja",'Mapa final'!$AN$42="Mayor"),CONCATENATE("R2C",'Mapa final'!$U$42),"")</f>
        <v/>
      </c>
      <c r="AE56" s="39" t="str">
        <f>IF(AND('Mapa final'!$AL$43="Muy Baja",'Mapa final'!$AN$43="Mayor"),CONCATENATE("R2C",'Mapa final'!$U$43),"")</f>
        <v/>
      </c>
      <c r="AF56" s="39" t="str">
        <f>IF(AND('Mapa final'!$AL$44="Muy Baja",'Mapa final'!$AN$44="Mayor"),CONCATENATE("R2C",'Mapa final'!$U$44),"")</f>
        <v/>
      </c>
      <c r="AG56" s="39" t="str">
        <f>IF(AND('Mapa final'!$AL$45="Muy Baja",'Mapa final'!$AN$45="Mayor"),CONCATENATE("R2C",'Mapa final'!$U$45),"")</f>
        <v/>
      </c>
      <c r="AH56" s="40" t="str">
        <f>IF(AND('Mapa final'!$AL$46="Muy Baja",'Mapa final'!$AN$46="Mayor"),CONCATENATE("R2C",'Mapa final'!$U$46),"")</f>
        <v/>
      </c>
      <c r="AI56" s="41" t="str">
        <f>IF(AND('Mapa final'!$AL$41="Muy Baja",'Mapa final'!$AN$41="Catastrófico"),CONCATENATE("R2C",'Mapa final'!$U$41),"")</f>
        <v/>
      </c>
      <c r="AJ56" s="42" t="str">
        <f>IF(AND('Mapa final'!$AL$42="Muy Baja",'Mapa final'!$AN$42="Catastrófico"),CONCATENATE("R2C",'Mapa final'!$U$42),"")</f>
        <v/>
      </c>
      <c r="AK56" s="42" t="str">
        <f>IF(AND('Mapa final'!$AL$43="Muy Baja",'Mapa final'!$AN$43="Catastrófico"),CONCATENATE("R2C",'Mapa final'!$U$43),"")</f>
        <v/>
      </c>
      <c r="AL56" s="42" t="str">
        <f>IF(AND('Mapa final'!$AL$44="Muy Baja",'Mapa final'!$AN$44="Catastrófico"),CONCATENATE("R2C",'Mapa final'!$U$44),"")</f>
        <v/>
      </c>
      <c r="AM56" s="42" t="str">
        <f>IF(AND('Mapa final'!$AL$45="Muy Baja",'Mapa final'!$AN$45="Catastrófico"),CONCATENATE("R2C",'Mapa final'!$U$45),"")</f>
        <v/>
      </c>
      <c r="AN56" s="43" t="str">
        <f>IF(AND('Mapa final'!$AL$46="Muy Baja",'Mapa final'!$AN$46="Catastrófico"),CONCATENATE("R2C",'Mapa final'!$U$46),"")</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419"/>
      <c r="D57" s="419"/>
      <c r="E57" s="420"/>
      <c r="F57" s="462"/>
      <c r="G57" s="463"/>
      <c r="H57" s="463"/>
      <c r="I57" s="463"/>
      <c r="J57" s="464"/>
      <c r="K57" s="62" t="str">
        <f>IF(AND('Mapa final'!$AL$47="Muy Baja",'Mapa final'!$AN$47="Leve"),CONCATENATE("R2C",'Mapa final'!$U$47),"")</f>
        <v/>
      </c>
      <c r="L57" s="63" t="str">
        <f>IF(AND('Mapa final'!$AL$48="Muy Baja",'Mapa final'!$AN$48="Leve"),CONCATENATE("R2C",'Mapa final'!$U$48),"")</f>
        <v/>
      </c>
      <c r="M57" s="63" t="str">
        <f>IF(AND('Mapa final'!$AL$49="Muy Baja",'Mapa final'!$AN$49="Leve"),CONCATENATE("R2C",'Mapa final'!$U$49),"")</f>
        <v/>
      </c>
      <c r="N57" s="63" t="str">
        <f>IF(AND('Mapa final'!$AL$50="Muy Baja",'Mapa final'!$AN$50="Leve"),CONCATENATE("R2C",'Mapa final'!$U$50),"")</f>
        <v/>
      </c>
      <c r="O57" s="63" t="str">
        <f>IF(AND('Mapa final'!$AL$51="Muy Baja",'Mapa final'!$AN$51="Leve"),CONCATENATE("R2C",'Mapa final'!$U$51),"")</f>
        <v/>
      </c>
      <c r="P57" s="64" t="str">
        <f>IF(AND('Mapa final'!$AL$62="Muy Baja",'Mapa final'!$AN$52="Leve"),CONCATENATE("R2C",'Mapa final'!$U$52),"")</f>
        <v/>
      </c>
      <c r="Q57" s="62" t="str">
        <f>IF(AND('Mapa final'!$AL$47="Muy Baja",'Mapa final'!$AN$47="Menor"),CONCATENATE("R2C",'Mapa final'!$U$47),"")</f>
        <v/>
      </c>
      <c r="R57" s="63" t="str">
        <f>IF(AND('Mapa final'!$AL$48="Muy Baja",'Mapa final'!$AN$48="Menor"),CONCATENATE("R2C",'Mapa final'!$U$48),"")</f>
        <v/>
      </c>
      <c r="S57" s="63" t="str">
        <f>IF(AND('Mapa final'!$AL$49="Muy Baja",'Mapa final'!$AN$49="Menor"),CONCATENATE("R2C",'Mapa final'!$U$49),"")</f>
        <v/>
      </c>
      <c r="T57" s="63" t="str">
        <f>IF(AND('Mapa final'!$AL$50="Muy Baja",'Mapa final'!$AN$50="Menor"),CONCATENATE("R2C",'Mapa final'!$U$50),"")</f>
        <v/>
      </c>
      <c r="U57" s="63" t="str">
        <f>IF(AND('Mapa final'!$AL$51="Muy Baja",'Mapa final'!$AN$51="Menor"),CONCATENATE("R2C",'Mapa final'!$U$51),"")</f>
        <v/>
      </c>
      <c r="V57" s="64" t="str">
        <f>IF(AND('Mapa final'!$AL$62="Muy Baja",'Mapa final'!$AN$52="Menor"),CONCATENATE("R2C",'Mapa final'!$U$52),"")</f>
        <v/>
      </c>
      <c r="W57" s="53" t="str">
        <f>IF(AND('Mapa final'!$AL$47="Muy Baja",'Mapa final'!$AN$47="Moderado"),CONCATENATE("R2C",'Mapa final'!$U$47),"")</f>
        <v/>
      </c>
      <c r="X57" s="54" t="str">
        <f>IF(AND('Mapa final'!$AL$48="Muy Baja",'Mapa final'!$AN$48="Moderado"),CONCATENATE("R2C",'Mapa final'!$U$48),"")</f>
        <v/>
      </c>
      <c r="Y57" s="54" t="str">
        <f>IF(AND('Mapa final'!$AL$49="Muy Baja",'Mapa final'!$AN$49="Moderado"),CONCATENATE("R2C",'Mapa final'!$U$49),"")</f>
        <v/>
      </c>
      <c r="Z57" s="54" t="str">
        <f>IF(AND('Mapa final'!$AL$50="Muy Baja",'Mapa final'!$AN$50="Moderado"),CONCATENATE("R2C",'Mapa final'!$U$50),"")</f>
        <v/>
      </c>
      <c r="AA57" s="54" t="str">
        <f>IF(AND('Mapa final'!$AL$51="Muy Baja",'Mapa final'!$AN$51="Moderado"),CONCATENATE("R2C",'Mapa final'!$U$51),"")</f>
        <v/>
      </c>
      <c r="AB57" s="55" t="str">
        <f>IF(AND('Mapa final'!$AL$62="Muy Baja",'Mapa final'!$AN$52="Moderado"),CONCATENATE("R2C",'Mapa final'!$U$52),"")</f>
        <v/>
      </c>
      <c r="AC57" s="38" t="str">
        <f>IF(AND('Mapa final'!$AL$47="Muy Baja",'Mapa final'!$AN$47="Mayor"),CONCATENATE("R2C",'Mapa final'!$U$47),"")</f>
        <v/>
      </c>
      <c r="AD57" s="39" t="str">
        <f>IF(AND('Mapa final'!$AL$48="Muy Baja",'Mapa final'!$AN$48="Mayor"),CONCATENATE("R2C",'Mapa final'!$U$48),"")</f>
        <v/>
      </c>
      <c r="AE57" s="39" t="str">
        <f>IF(AND('Mapa final'!$AL$49="Muy Baja",'Mapa final'!$AN$49="Mayor"),CONCATENATE("R2C",'Mapa final'!$U$49),"")</f>
        <v/>
      </c>
      <c r="AF57" s="39" t="str">
        <f>IF(AND('Mapa final'!$AL$50="Muy Baja",'Mapa final'!$AN$50="Mayor"),CONCATENATE("R2C",'Mapa final'!$U$50),"")</f>
        <v/>
      </c>
      <c r="AG57" s="39" t="str">
        <f>IF(AND('Mapa final'!$AL$51="Muy Baja",'Mapa final'!$AN$51="Mayor"),CONCATENATE("R2C",'Mapa final'!$U$51),"")</f>
        <v/>
      </c>
      <c r="AH57" s="40" t="str">
        <f>IF(AND('Mapa final'!$AL$62="Muy Baja",'Mapa final'!$AN$52="Mayor"),CONCATENATE("R2C",'Mapa final'!$U$52),"")</f>
        <v/>
      </c>
      <c r="AI57" s="41" t="str">
        <f>IF(AND('Mapa final'!$AL$47="Muy Baja",'Mapa final'!$AN$47="Catastrófico"),CONCATENATE("R2C",'Mapa final'!$U$47),"")</f>
        <v/>
      </c>
      <c r="AJ57" s="42" t="str">
        <f>IF(AND('Mapa final'!$AL$48="Muy Baja",'Mapa final'!$AN$48="Catastrófico"),CONCATENATE("R2C",'Mapa final'!$U$48),"")</f>
        <v/>
      </c>
      <c r="AK57" s="42" t="str">
        <f>IF(AND('Mapa final'!$AL$49="Muy Baja",'Mapa final'!$AN$49="Catastrófico"),CONCATENATE("R2C",'Mapa final'!$U$49),"")</f>
        <v/>
      </c>
      <c r="AL57" s="42" t="str">
        <f>IF(AND('Mapa final'!$AL$50="Muy Baja",'Mapa final'!$AN$50="Catastrófico"),CONCATENATE("R2C",'Mapa final'!$U$50),"")</f>
        <v/>
      </c>
      <c r="AM57" s="42" t="str">
        <f>IF(AND('Mapa final'!$AL$51="Muy Baja",'Mapa final'!$AN$51="Catastrófico"),CONCATENATE("R2C",'Mapa final'!$U$51),"")</f>
        <v/>
      </c>
      <c r="AN57" s="43" t="str">
        <f>IF(AND('Mapa final'!$AL$62="Muy Baja",'Mapa final'!$AN$52="Catastrófico"),CONCATENATE("R2C",'Mapa final'!$U$52),"")</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419"/>
      <c r="D58" s="419"/>
      <c r="E58" s="420"/>
      <c r="F58" s="462"/>
      <c r="G58" s="463"/>
      <c r="H58" s="463"/>
      <c r="I58" s="463"/>
      <c r="J58" s="464"/>
      <c r="K58" s="62" t="str">
        <f>IF(AND('Mapa final'!$AL$53="Muy Baja",'Mapa final'!$AN$53="Leve"),CONCATENATE("R2C",'Mapa final'!$U$53),"")</f>
        <v/>
      </c>
      <c r="L58" s="63" t="str">
        <f>IF(AND('Mapa final'!$AL$54="Muy Baja",'Mapa final'!$AN$54="Leve"),CONCATENATE("R2C",'Mapa final'!$U$54),"")</f>
        <v/>
      </c>
      <c r="M58" s="63" t="str">
        <f>IF(AND('Mapa final'!$AL$55="Muy Baja",'Mapa final'!$AN$55="Leve"),CONCATENATE("R2C",'Mapa final'!$U$55),"")</f>
        <v/>
      </c>
      <c r="N58" s="63" t="str">
        <f>IF(AND('Mapa final'!$AL$56="Muy Baja",'Mapa final'!$AN$56="Leve"),CONCATENATE("R2C",'Mapa final'!$U$56),"")</f>
        <v/>
      </c>
      <c r="O58" s="63" t="str">
        <f>IF(AND('Mapa final'!$AL$57="Muy Baja",'Mapa final'!$AN$57="Leve"),CONCATENATE("R2C",'Mapa final'!$U$57),"")</f>
        <v/>
      </c>
      <c r="P58" s="64" t="str">
        <f>IF(AND('Mapa final'!$AL$58="Muy Baja",'Mapa final'!$AN$58="Leve"),CONCATENATE("R2C",'Mapa final'!$U$58),"")</f>
        <v/>
      </c>
      <c r="Q58" s="62" t="str">
        <f>IF(AND('Mapa final'!$AL$53="Muy Baja",'Mapa final'!$AN$53="Menor"),CONCATENATE("R2C",'Mapa final'!$U$53),"")</f>
        <v/>
      </c>
      <c r="R58" s="63" t="str">
        <f>IF(AND('Mapa final'!$AL$54="Muy Baja",'Mapa final'!$AN$54="Menor"),CONCATENATE("R2C",'Mapa final'!$U$54),"")</f>
        <v/>
      </c>
      <c r="S58" s="63" t="str">
        <f>IF(AND('Mapa final'!$AL$55="Muy Baja",'Mapa final'!$AN$55="Menor"),CONCATENATE("R2C",'Mapa final'!$U$55),"")</f>
        <v/>
      </c>
      <c r="T58" s="63" t="str">
        <f>IF(AND('Mapa final'!$AL$56="Muy Baja",'Mapa final'!$AN$56="Menor"),CONCATENATE("R2C",'Mapa final'!$U$56),"")</f>
        <v/>
      </c>
      <c r="U58" s="63" t="str">
        <f>IF(AND('Mapa final'!$AL$57="Muy Baja",'Mapa final'!$AN$57="Menor"),CONCATENATE("R2C",'Mapa final'!$U$57),"")</f>
        <v/>
      </c>
      <c r="V58" s="64" t="str">
        <f>IF(AND('Mapa final'!$AL$58="Muy Baja",'Mapa final'!$AN$58="Menor"),CONCATENATE("R2C",'Mapa final'!$U$58),"")</f>
        <v/>
      </c>
      <c r="W58" s="53" t="str">
        <f>IF(AND('Mapa final'!$AL$53="Muy Baja",'Mapa final'!$AN$53="Moderado"),CONCATENATE("R2C",'Mapa final'!$U$53),"")</f>
        <v/>
      </c>
      <c r="X58" s="54" t="str">
        <f>IF(AND('Mapa final'!$AL$54="Muy Baja",'Mapa final'!$AN$54="Moderado"),CONCATENATE("R2C",'Mapa final'!$U$54),"")</f>
        <v/>
      </c>
      <c r="Y58" s="54" t="str">
        <f>IF(AND('Mapa final'!$AL$55="Muy Baja",'Mapa final'!$AN$55="Moderado"),CONCATENATE("R2C",'Mapa final'!$U$55),"")</f>
        <v/>
      </c>
      <c r="Z58" s="54" t="str">
        <f>IF(AND('Mapa final'!$AL$56="Muy Baja",'Mapa final'!$AN$56="Moderado"),CONCATENATE("R2C",'Mapa final'!$U$56),"")</f>
        <v/>
      </c>
      <c r="AA58" s="54" t="str">
        <f>IF(AND('Mapa final'!$AL$57="Muy Baja",'Mapa final'!$AN$57="Moderado"),CONCATENATE("R2C",'Mapa final'!$U$57),"")</f>
        <v/>
      </c>
      <c r="AB58" s="55" t="str">
        <f>IF(AND('Mapa final'!$AL$58="Muy Baja",'Mapa final'!$AN$58="Moderado"),CONCATENATE("R2C",'Mapa final'!$U$58),"")</f>
        <v/>
      </c>
      <c r="AC58" s="38" t="str">
        <f>IF(AND('Mapa final'!$AL$53="Muy Baja",'Mapa final'!$AN$53="Mayor"),CONCATENATE("R2C",'Mapa final'!$U$53),"")</f>
        <v/>
      </c>
      <c r="AD58" s="39" t="str">
        <f>IF(AND('Mapa final'!$AL$54="Muy Baja",'Mapa final'!$AN$54="Mayor"),CONCATENATE("R2C",'Mapa final'!$U$54),"")</f>
        <v/>
      </c>
      <c r="AE58" s="39" t="str">
        <f>IF(AND('Mapa final'!$AL$55="Muy Baja",'Mapa final'!$AN$55="Mayor"),CONCATENATE("R2C",'Mapa final'!$U$55),"")</f>
        <v/>
      </c>
      <c r="AF58" s="39" t="str">
        <f>IF(AND('Mapa final'!$AL$56="Muy Baja",'Mapa final'!$AN$56="Mayor"),CONCATENATE("R2C",'Mapa final'!$U$56),"")</f>
        <v/>
      </c>
      <c r="AG58" s="39" t="str">
        <f>IF(AND('Mapa final'!$AL$57="Muy Baja",'Mapa final'!$AN$57="Mayor"),CONCATENATE("R2C",'Mapa final'!$U$57),"")</f>
        <v/>
      </c>
      <c r="AH58" s="40" t="str">
        <f>IF(AND('Mapa final'!$AL$58="Muy Baja",'Mapa final'!$AN$58="Mayor"),CONCATENATE("R2C",'Mapa final'!$U$58),"")</f>
        <v/>
      </c>
      <c r="AI58" s="41" t="str">
        <f>IF(AND('Mapa final'!$AL$53="Muy Baja",'Mapa final'!$AN$53="Catastrófico"),CONCATENATE("R2C",'Mapa final'!$U$53),"")</f>
        <v/>
      </c>
      <c r="AJ58" s="42" t="str">
        <f>IF(AND('Mapa final'!$AL$54="Muy Baja",'Mapa final'!$AN$54="Catastrófico"),CONCATENATE("R2C",'Mapa final'!$U$54),"")</f>
        <v/>
      </c>
      <c r="AK58" s="42" t="str">
        <f>IF(AND('Mapa final'!$AL$55="Muy Baja",'Mapa final'!$AN$55="Catastrófico"),CONCATENATE("R2C",'Mapa final'!$U$55),"")</f>
        <v/>
      </c>
      <c r="AL58" s="42" t="str">
        <f>IF(AND('Mapa final'!$AL$56="Muy Baja",'Mapa final'!$AN$56="Catastrófico"),CONCATENATE("R2C",'Mapa final'!$U$56),"")</f>
        <v/>
      </c>
      <c r="AM58" s="42" t="str">
        <f>IF(AND('Mapa final'!$AL$57="Muy Baja",'Mapa final'!$AN$57="Catastrófico"),CONCATENATE("R2C",'Mapa final'!$U$57),"")</f>
        <v/>
      </c>
      <c r="AN58" s="43" t="str">
        <f>IF(AND('Mapa final'!$AL$58="Muy Baja",'Mapa final'!$AN$58="Catastrófico"),CONCATENATE("R2C",'Mapa final'!$U$58),"")</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419"/>
      <c r="D59" s="419"/>
      <c r="E59" s="420"/>
      <c r="F59" s="462"/>
      <c r="G59" s="463"/>
      <c r="H59" s="463"/>
      <c r="I59" s="463"/>
      <c r="J59" s="464"/>
      <c r="K59" s="62" t="str">
        <f>IF(AND('Mapa final'!$AL$59="Muy Baja",'Mapa final'!$AN$59="Leve"),CONCATENATE("R2C",'Mapa final'!$U$59),"")</f>
        <v/>
      </c>
      <c r="L59" s="63" t="str">
        <f>IF(AND('Mapa final'!$AL$60="Muy Baja",'Mapa final'!$AN$60="Leve"),CONCATENATE("R2C",'Mapa final'!$U$60),"")</f>
        <v/>
      </c>
      <c r="M59" s="63" t="str">
        <f>IF(AND('Mapa final'!$AL$61="Muy Baja",'Mapa final'!$AN$61="Leve"),CONCATENATE("R2C",'Mapa final'!$U$61),"")</f>
        <v/>
      </c>
      <c r="N59" s="63" t="str">
        <f>IF(AND('Mapa final'!$AL$62="Muy Baja",'Mapa final'!$AN$62="Leve"),CONCATENATE("R2C",'Mapa final'!$U$62),"")</f>
        <v/>
      </c>
      <c r="O59" s="63" t="str">
        <f>IF(AND('Mapa final'!$AL$63="Muy Baja",'Mapa final'!$AN$63="Leve"),CONCATENATE("R2C",'Mapa final'!$U$63),"")</f>
        <v/>
      </c>
      <c r="P59" s="64" t="str">
        <f>IF(AND('Mapa final'!$AL$64="Muy Baja",'Mapa final'!$AN$64="Leve"),CONCATENATE("R2C",'Mapa final'!$U$64),"")</f>
        <v/>
      </c>
      <c r="Q59" s="62" t="str">
        <f>IF(AND('Mapa final'!$AL$59="Muy Baja",'Mapa final'!$AN$59="Menor"),CONCATENATE("R2C",'Mapa final'!$U$59),"")</f>
        <v/>
      </c>
      <c r="R59" s="63" t="str">
        <f>IF(AND('Mapa final'!$AL$60="Muy Baja",'Mapa final'!$AN$60="Menor"),CONCATENATE("R2C",'Mapa final'!$U$60),"")</f>
        <v/>
      </c>
      <c r="S59" s="63" t="str">
        <f>IF(AND('Mapa final'!$AL$61="Muy Baja",'Mapa final'!$AN$61="Menor"),CONCATENATE("R2C",'Mapa final'!$U$61),"")</f>
        <v/>
      </c>
      <c r="T59" s="63" t="str">
        <f>IF(AND('Mapa final'!$AL$62="Muy Baja",'Mapa final'!$AN$62="Menor"),CONCATENATE("R2C",'Mapa final'!$U$62),"")</f>
        <v/>
      </c>
      <c r="U59" s="63" t="str">
        <f>IF(AND('Mapa final'!$AL$63="Muy Baja",'Mapa final'!$AN$63="Menor"),CONCATENATE("R2C",'Mapa final'!$U$63),"")</f>
        <v/>
      </c>
      <c r="V59" s="64" t="str">
        <f>IF(AND('Mapa final'!$AL$64="Muy Baja",'Mapa final'!$AN$64="Menor"),CONCATENATE("R2C",'Mapa final'!$U$64),"")</f>
        <v/>
      </c>
      <c r="W59" s="53" t="str">
        <f>IF(AND('Mapa final'!$AL$59="Muy Baja",'Mapa final'!$AN$59="Moderado"),CONCATENATE("R2C",'Mapa final'!$U$59),"")</f>
        <v/>
      </c>
      <c r="X59" s="54" t="str">
        <f>IF(AND('Mapa final'!$AL$60="Muy Baja",'Mapa final'!$AN$60="Moderado"),CONCATENATE("R2C",'Mapa final'!$U$60),"")</f>
        <v/>
      </c>
      <c r="Y59" s="54" t="str">
        <f>IF(AND('Mapa final'!$AL$61="Muy Baja",'Mapa final'!$AN$61="Moderado"),CONCATENATE("R2C",'Mapa final'!$U$61),"")</f>
        <v/>
      </c>
      <c r="Z59" s="54" t="str">
        <f>IF(AND('Mapa final'!$AL$62="Muy Baja",'Mapa final'!$AN$62="Moderado"),CONCATENATE("R2C",'Mapa final'!$U$62),"")</f>
        <v/>
      </c>
      <c r="AA59" s="54" t="str">
        <f>IF(AND('Mapa final'!$AL$63="Muy Baja",'Mapa final'!$AN$63="Moderado"),CONCATENATE("R2C",'Mapa final'!$U$63),"")</f>
        <v/>
      </c>
      <c r="AB59" s="55" t="str">
        <f>IF(AND('Mapa final'!$AL$64="Muy Baja",'Mapa final'!$AN$64="Moderado"),CONCATENATE("R2C",'Mapa final'!$U$64),"")</f>
        <v/>
      </c>
      <c r="AC59" s="38" t="str">
        <f>IF(AND('Mapa final'!$AL$59="Muy Baja",'Mapa final'!$AN$59="Mayor"),CONCATENATE("R2C",'Mapa final'!$U$59),"")</f>
        <v/>
      </c>
      <c r="AD59" s="39" t="str">
        <f>IF(AND('Mapa final'!$AL$60="Muy Baja",'Mapa final'!$AN$60="Mayor"),CONCATENATE("R2C",'Mapa final'!$U$60),"")</f>
        <v/>
      </c>
      <c r="AE59" s="39" t="str">
        <f>IF(AND('Mapa final'!$AL$61="Muy Baja",'Mapa final'!$AN$61="Mayor"),CONCATENATE("R2C",'Mapa final'!$U$61),"")</f>
        <v/>
      </c>
      <c r="AF59" s="39" t="str">
        <f>IF(AND('Mapa final'!$AL$62="Muy Baja",'Mapa final'!$AN$62="Mayor"),CONCATENATE("R2C",'Mapa final'!$U$62),"")</f>
        <v/>
      </c>
      <c r="AG59" s="39" t="str">
        <f>IF(AND('Mapa final'!$AL$63="Muy Baja",'Mapa final'!$AN$63="Mayor"),CONCATENATE("R2C",'Mapa final'!$U$63),"")</f>
        <v/>
      </c>
      <c r="AH59" s="40" t="str">
        <f>IF(AND('Mapa final'!$AL$64="Muy Baja",'Mapa final'!$AN$64="Mayor"),CONCATENATE("R2C",'Mapa final'!$U$64),"")</f>
        <v/>
      </c>
      <c r="AI59" s="41" t="str">
        <f>IF(AND('Mapa final'!$AL$59="Muy Baja",'Mapa final'!$AN$59="Catastrófico"),CONCATENATE("R2C",'Mapa final'!$U$59),"")</f>
        <v/>
      </c>
      <c r="AJ59" s="42" t="str">
        <f>IF(AND('Mapa final'!$AL$60="Muy Baja",'Mapa final'!$AN$60="Catastrófico"),CONCATENATE("R2C",'Mapa final'!$U$60),"")</f>
        <v/>
      </c>
      <c r="AK59" s="42" t="str">
        <f>IF(AND('Mapa final'!$AL$61="Muy Baja",'Mapa final'!$AN$61="Catastrófico"),CONCATENATE("R2C",'Mapa final'!$U$61),"")</f>
        <v/>
      </c>
      <c r="AL59" s="42" t="str">
        <f>IF(AND('Mapa final'!$AL$62="Muy Baja",'Mapa final'!$AN$62="Catastrófico"),CONCATENATE("R2C",'Mapa final'!$U$62),"")</f>
        <v/>
      </c>
      <c r="AM59" s="42" t="str">
        <f>IF(AND('Mapa final'!$AL$63="Muy Baja",'Mapa final'!$AN$63="Catastrófico"),CONCATENATE("R2C",'Mapa final'!$U$63),"")</f>
        <v/>
      </c>
      <c r="AN59" s="43" t="str">
        <f>IF(AND('Mapa final'!$AL$64="Muy Baja",'Mapa final'!$AN$64="Catastrófico"),CONCATENATE("R2C",'Mapa final'!$U$64),"")</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419"/>
      <c r="D60" s="419"/>
      <c r="E60" s="420"/>
      <c r="F60" s="462"/>
      <c r="G60" s="463"/>
      <c r="H60" s="463"/>
      <c r="I60" s="463"/>
      <c r="J60" s="464"/>
      <c r="K60" s="62" t="str">
        <f>IF(AND('Mapa final'!$AL$65="Muy Baja",'Mapa final'!$AN$65="Leve"),CONCATENATE("R2C",'Mapa final'!$U$65),"")</f>
        <v/>
      </c>
      <c r="L60" s="63" t="str">
        <f>IF(AND('Mapa final'!$AL$66="Muy Baja",'Mapa final'!$AN$66="Leve"),CONCATENATE("R2C",'Mapa final'!$U$66),"")</f>
        <v/>
      </c>
      <c r="M60" s="63" t="str">
        <f>IF(AND('Mapa final'!$AL$67="Muy Baja",'Mapa final'!$AN$67="Leve"),CONCATENATE("R2C",'Mapa final'!$U$67),"")</f>
        <v/>
      </c>
      <c r="N60" s="63" t="str">
        <f>IF(AND('Mapa final'!$AL$68="Muy Baja",'Mapa final'!$AN$68="Leve"),CONCATENATE("R2C",'Mapa final'!$U$68),"")</f>
        <v/>
      </c>
      <c r="O60" s="63" t="str">
        <f>IF(AND('Mapa final'!$AL$69="Muy Baja",'Mapa final'!$AN$69="Leve"),CONCATENATE("R2C",'Mapa final'!$U$69),"")</f>
        <v/>
      </c>
      <c r="P60" s="64" t="str">
        <f>IF(AND('Mapa final'!$AL$70="Muy Baja",'Mapa final'!$AN$70="Leve"),CONCATENATE("R2C",'Mapa final'!$U$70),"")</f>
        <v/>
      </c>
      <c r="Q60" s="62" t="str">
        <f>IF(AND('Mapa final'!$AL$65="Muy Baja",'Mapa final'!$AN$65="Menor"),CONCATENATE("R2C",'Mapa final'!$U$65),"")</f>
        <v/>
      </c>
      <c r="R60" s="63" t="str">
        <f>IF(AND('Mapa final'!$AL$66="Muy Baja",'Mapa final'!$AN$66="Menor"),CONCATENATE("R2C",'Mapa final'!$U$66),"")</f>
        <v/>
      </c>
      <c r="S60" s="63" t="str">
        <f>IF(AND('Mapa final'!$AL$67="Muy Baja",'Mapa final'!$AN$67="Menor"),CONCATENATE("R2C",'Mapa final'!$U$67),"")</f>
        <v/>
      </c>
      <c r="T60" s="63" t="str">
        <f>IF(AND('Mapa final'!$AL$68="Muy Baja",'Mapa final'!$AN$68="Menor"),CONCATENATE("R2C",'Mapa final'!$U$68),"")</f>
        <v/>
      </c>
      <c r="U60" s="63" t="str">
        <f>IF(AND('Mapa final'!$AL$69="Muy Baja",'Mapa final'!$AN$69="Menor"),CONCATENATE("R2C",'Mapa final'!$U$69),"")</f>
        <v/>
      </c>
      <c r="V60" s="64" t="str">
        <f>IF(AND('Mapa final'!$AL$70="Muy Baja",'Mapa final'!$AN$70="Menor"),CONCATENATE("R2C",'Mapa final'!$U$70),"")</f>
        <v/>
      </c>
      <c r="W60" s="53" t="str">
        <f>IF(AND('Mapa final'!$AL$65="Muy Baja",'Mapa final'!$AN$65="Moderado"),CONCATENATE("R2C",'Mapa final'!$U$65),"")</f>
        <v/>
      </c>
      <c r="X60" s="54" t="str">
        <f>IF(AND('Mapa final'!$AL$66="Muy Baja",'Mapa final'!$AN$66="Moderado"),CONCATENATE("R2C",'Mapa final'!$U$66),"")</f>
        <v/>
      </c>
      <c r="Y60" s="54" t="str">
        <f>IF(AND('Mapa final'!$AL$67="Muy Baja",'Mapa final'!$AN$67="Moderado"),CONCATENATE("R2C",'Mapa final'!$U$67),"")</f>
        <v/>
      </c>
      <c r="Z60" s="54" t="str">
        <f>IF(AND('Mapa final'!$AL$68="Muy Baja",'Mapa final'!$AN$68="Moderado"),CONCATENATE("R2C",'Mapa final'!$U$68),"")</f>
        <v/>
      </c>
      <c r="AA60" s="54" t="str">
        <f>IF(AND('Mapa final'!$AL$69="Muy Baja",'Mapa final'!$AN$69="Moderado"),CONCATENATE("R2C",'Mapa final'!$U$69),"")</f>
        <v/>
      </c>
      <c r="AB60" s="55" t="str">
        <f>IF(AND('Mapa final'!$AL$70="Muy Baja",'Mapa final'!$AN$70="Moderado"),CONCATENATE("R2C",'Mapa final'!$U$70),"")</f>
        <v/>
      </c>
      <c r="AC60" s="38" t="str">
        <f>IF(AND('Mapa final'!$AL$65="Muy Baja",'Mapa final'!$AN$65="Mayor"),CONCATENATE("R2C",'Mapa final'!$U$65),"")</f>
        <v/>
      </c>
      <c r="AD60" s="39" t="str">
        <f>IF(AND('Mapa final'!$AL$66="Muy Baja",'Mapa final'!$AN$66="Mayor"),CONCATENATE("R2C",'Mapa final'!$U$66),"")</f>
        <v/>
      </c>
      <c r="AE60" s="39" t="str">
        <f>IF(AND('Mapa final'!$AL$67="Muy Baja",'Mapa final'!$AN$67="Mayor"),CONCATENATE("R2C",'Mapa final'!$U$67),"")</f>
        <v/>
      </c>
      <c r="AF60" s="39" t="str">
        <f>IF(AND('Mapa final'!$AL$68="Muy Baja",'Mapa final'!$AN$68="Mayor"),CONCATENATE("R2C",'Mapa final'!$U$68),"")</f>
        <v/>
      </c>
      <c r="AG60" s="39" t="str">
        <f>IF(AND('Mapa final'!$AL$69="Muy Baja",'Mapa final'!$AN$69="Mayor"),CONCATENATE("R2C",'Mapa final'!$U$69),"")</f>
        <v/>
      </c>
      <c r="AH60" s="40" t="str">
        <f>IF(AND('Mapa final'!$AL$70="Muy Baja",'Mapa final'!$AN$70="Mayor"),CONCATENATE("R2C",'Mapa final'!$U$70),"")</f>
        <v/>
      </c>
      <c r="AI60" s="41" t="str">
        <f>IF(AND('Mapa final'!$AL$65="Muy Baja",'Mapa final'!$AN$65="Catastrófico"),CONCATENATE("R2C",'Mapa final'!$U$65),"")</f>
        <v/>
      </c>
      <c r="AJ60" s="42" t="str">
        <f>IF(AND('Mapa final'!$AL$66="Muy Baja",'Mapa final'!$AN$66="Catastrófico"),CONCATENATE("R2C",'Mapa final'!$U$66),"")</f>
        <v/>
      </c>
      <c r="AK60" s="42" t="str">
        <f>IF(AND('Mapa final'!$AL$67="Muy Baja",'Mapa final'!$AN$67="Catastrófico"),CONCATENATE("R2C",'Mapa final'!$U$67),"")</f>
        <v/>
      </c>
      <c r="AL60" s="42" t="str">
        <f>IF(AND('Mapa final'!$AL$68="Muy Baja",'Mapa final'!$AN$68="Catastrófico"),CONCATENATE("R2C",'Mapa final'!$U$68),"")</f>
        <v/>
      </c>
      <c r="AM60" s="42" t="str">
        <f>IF(AND('Mapa final'!$AL$69="Muy Baja",'Mapa final'!$AN$69="Catastrófico"),CONCATENATE("R2C",'Mapa final'!$U$69),"")</f>
        <v/>
      </c>
      <c r="AN60" s="43" t="str">
        <f>IF(AND('Mapa final'!$AL$70="Muy Baja",'Mapa final'!$AN$70="Catastrófico"),CONCATENATE("R2C",'Mapa final'!$U$70),"")</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419"/>
      <c r="D61" s="419"/>
      <c r="E61" s="420"/>
      <c r="F61" s="465"/>
      <c r="G61" s="466"/>
      <c r="H61" s="466"/>
      <c r="I61" s="466"/>
      <c r="J61" s="467"/>
      <c r="K61" s="65" t="str">
        <f>IF(AND('Mapa final'!$AL$71="Muy Baja",'Mapa final'!$AN$71="Leve"),CONCATENATE("R2C",'Mapa final'!$U$71),"")</f>
        <v/>
      </c>
      <c r="L61" s="66" t="str">
        <f>IF(AND('Mapa final'!$AL$72="Muy Baja",'Mapa final'!$AN$72="Leve"),CONCATENATE("R2C",'Mapa final'!$U$72),"")</f>
        <v/>
      </c>
      <c r="M61" s="66" t="str">
        <f>IF(AND('Mapa final'!$AL$73="Muy Baja",'Mapa final'!$AN$73="Leve"),CONCATENATE("R2C",'Mapa final'!$U$73),"")</f>
        <v/>
      </c>
      <c r="N61" s="66" t="str">
        <f>IF(AND('Mapa final'!$AL$74="Muy Baja",'Mapa final'!$AN$74="Leve"),CONCATENATE("R2C",'Mapa final'!$U$74),"")</f>
        <v/>
      </c>
      <c r="O61" s="66" t="str">
        <f>IF(AND('Mapa final'!$AL$76="Muy Baja",'Mapa final'!$AN$76="Leve"),CONCATENATE("R2C",'Mapa final'!$U$76),"")</f>
        <v/>
      </c>
      <c r="P61" s="67" t="str">
        <f>IF(AND('Mapa final'!$AL$77="Muy Baja",'Mapa final'!$AN$77="Leve"),CONCATENATE("R2C",'Mapa final'!$U$77),"")</f>
        <v/>
      </c>
      <c r="Q61" s="65" t="str">
        <f>IF(AND('Mapa final'!$AL$71="Muy Baja",'Mapa final'!$AN$71="Menor"),CONCATENATE("R2C",'Mapa final'!$U$71),"")</f>
        <v/>
      </c>
      <c r="R61" s="66" t="str">
        <f>IF(AND('Mapa final'!$AL$72="Muy Baja",'Mapa final'!$AN$72="Menor"),CONCATENATE("R2C",'Mapa final'!$U$72),"")</f>
        <v/>
      </c>
      <c r="S61" s="66" t="str">
        <f>IF(AND('Mapa final'!$AL$73="Muy Baja",'Mapa final'!$AN$73="Menor"),CONCATENATE("R2C",'Mapa final'!$U$73),"")</f>
        <v/>
      </c>
      <c r="T61" s="66" t="str">
        <f>IF(AND('Mapa final'!$AL$74="Muy Baja",'Mapa final'!$AN$74="Menor"),CONCATENATE("R2C",'Mapa final'!$U$74),"")</f>
        <v/>
      </c>
      <c r="U61" s="66" t="str">
        <f>IF(AND('Mapa final'!$AL$76="Muy Baja",'Mapa final'!$AN$76="Menor"),CONCATENATE("R2C",'Mapa final'!$U$76),"")</f>
        <v/>
      </c>
      <c r="V61" s="67" t="str">
        <f>IF(AND('Mapa final'!$AL$77="Muy Baja",'Mapa final'!$AN$77="Menor"),CONCATENATE("R2C",'Mapa final'!$U$77),"")</f>
        <v/>
      </c>
      <c r="W61" s="56" t="str">
        <f>IF(AND('Mapa final'!$AL$71="Muy Baja",'Mapa final'!$AN$71="Moderado"),CONCATENATE("R2C",'Mapa final'!$U$71),"")</f>
        <v/>
      </c>
      <c r="X61" s="57" t="str">
        <f>IF(AND('Mapa final'!$AL$72="Muy Baja",'Mapa final'!$AN$72="Moderado"),CONCATENATE("R2C",'Mapa final'!$U$72),"")</f>
        <v/>
      </c>
      <c r="Y61" s="57" t="str">
        <f>IF(AND('Mapa final'!$AL$73="Muy Baja",'Mapa final'!$AN$73="Moderado"),CONCATENATE("R2C",'Mapa final'!$U$73),"")</f>
        <v/>
      </c>
      <c r="Z61" s="57" t="str">
        <f>IF(AND('Mapa final'!$AL$74="Muy Baja",'Mapa final'!$AN$74="Moderado"),CONCATENATE("R2C",'Mapa final'!$U$74),"")</f>
        <v/>
      </c>
      <c r="AA61" s="57" t="str">
        <f>IF(AND('Mapa final'!$AL$76="Muy Baja",'Mapa final'!$AN$76="Moderado"),CONCATENATE("R2C",'Mapa final'!$U$76),"")</f>
        <v/>
      </c>
      <c r="AB61" s="58" t="str">
        <f>IF(AND('Mapa final'!$AL$77="Muy Baja",'Mapa final'!$AN$77="Moderado"),CONCATENATE("R2C",'Mapa final'!$U$77),"")</f>
        <v/>
      </c>
      <c r="AC61" s="44" t="str">
        <f>IF(AND('Mapa final'!$AL$71="Muy Baja",'Mapa final'!$AN$71="Mayor"),CONCATENATE("R2C",'Mapa final'!$U$71),"")</f>
        <v/>
      </c>
      <c r="AD61" s="45" t="str">
        <f>IF(AND('Mapa final'!$AL$72="Muy Baja",'Mapa final'!$AN$72="Mayor"),CONCATENATE("R2C",'Mapa final'!$U$72),"")</f>
        <v/>
      </c>
      <c r="AE61" s="45" t="str">
        <f>IF(AND('Mapa final'!$AL$73="Muy Baja",'Mapa final'!$AN$73="Mayor"),CONCATENATE("R2C",'Mapa final'!$U$73),"")</f>
        <v/>
      </c>
      <c r="AF61" s="45" t="str">
        <f>IF(AND('Mapa final'!$AL$74="Muy Baja",'Mapa final'!$AN$74="Mayor"),CONCATENATE("R2C",'Mapa final'!$U$74),"")</f>
        <v/>
      </c>
      <c r="AG61" s="45" t="str">
        <f>IF(AND('Mapa final'!$AL$76="Muy Baja",'Mapa final'!$AN$76="Mayor"),CONCATENATE("R2C",'Mapa final'!$U$76),"")</f>
        <v/>
      </c>
      <c r="AH61" s="46" t="str">
        <f>IF(AND('Mapa final'!$AL$77="Muy Baja",'Mapa final'!$AN$77="Mayor"),CONCATENATE("R2C",'Mapa final'!$U$77),"")</f>
        <v/>
      </c>
      <c r="AI61" s="47" t="str">
        <f>IF(AND('Mapa final'!$AL$71="Muy Baja",'Mapa final'!$AN$71="Catastrófico"),CONCATENATE("R2C",'Mapa final'!$U$71),"")</f>
        <v/>
      </c>
      <c r="AJ61" s="48" t="str">
        <f>IF(AND('Mapa final'!$AL$72="Muy Baja",'Mapa final'!$AN$72="Catastrófico"),CONCATENATE("R2C",'Mapa final'!$U$72),"")</f>
        <v/>
      </c>
      <c r="AK61" s="48" t="str">
        <f>IF(AND('Mapa final'!$AL$73="Muy Baja",'Mapa final'!$AN$73="Catastrófico"),CONCATENATE("R2C",'Mapa final'!$U$73),"")</f>
        <v/>
      </c>
      <c r="AL61" s="48" t="str">
        <f>IF(AND('Mapa final'!$AL$74="Muy Baja",'Mapa final'!$AN$74="Catastrófico"),CONCATENATE("R2C",'Mapa final'!$U$74),"")</f>
        <v/>
      </c>
      <c r="AM61" s="48" t="str">
        <f>IF(AND('Mapa final'!$AL$76="Muy Baja",'Mapa final'!$AN$76="Catastrófico"),CONCATENATE("R2C",'Mapa final'!$U$76),"")</f>
        <v/>
      </c>
      <c r="AN61" s="49" t="str">
        <f>IF(AND('Mapa final'!$AL$77="Muy Baja",'Mapa final'!$AN$77="Catastrófico"),CONCATENATE("R2C",'Mapa final'!$U$77),"")</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59" t="s">
        <v>111</v>
      </c>
      <c r="L62" s="460"/>
      <c r="M62" s="460"/>
      <c r="N62" s="460"/>
      <c r="O62" s="460"/>
      <c r="P62" s="461"/>
      <c r="Q62" s="459" t="s">
        <v>110</v>
      </c>
      <c r="R62" s="460"/>
      <c r="S62" s="460"/>
      <c r="T62" s="460"/>
      <c r="U62" s="460"/>
      <c r="V62" s="461"/>
      <c r="W62" s="459" t="s">
        <v>109</v>
      </c>
      <c r="X62" s="460"/>
      <c r="Y62" s="460"/>
      <c r="Z62" s="460"/>
      <c r="AA62" s="460"/>
      <c r="AB62" s="461"/>
      <c r="AC62" s="459" t="s">
        <v>108</v>
      </c>
      <c r="AD62" s="468"/>
      <c r="AE62" s="460"/>
      <c r="AF62" s="460"/>
      <c r="AG62" s="460"/>
      <c r="AH62" s="461"/>
      <c r="AI62" s="459" t="s">
        <v>107</v>
      </c>
      <c r="AJ62" s="460"/>
      <c r="AK62" s="460"/>
      <c r="AL62" s="460"/>
      <c r="AM62" s="460"/>
      <c r="AN62" s="461"/>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62"/>
      <c r="L63" s="463"/>
      <c r="M63" s="463"/>
      <c r="N63" s="463"/>
      <c r="O63" s="463"/>
      <c r="P63" s="464"/>
      <c r="Q63" s="462"/>
      <c r="R63" s="463"/>
      <c r="S63" s="463"/>
      <c r="T63" s="463"/>
      <c r="U63" s="463"/>
      <c r="V63" s="464"/>
      <c r="W63" s="462"/>
      <c r="X63" s="463"/>
      <c r="Y63" s="463"/>
      <c r="Z63" s="463"/>
      <c r="AA63" s="463"/>
      <c r="AB63" s="464"/>
      <c r="AC63" s="462"/>
      <c r="AD63" s="463"/>
      <c r="AE63" s="463"/>
      <c r="AF63" s="463"/>
      <c r="AG63" s="463"/>
      <c r="AH63" s="464"/>
      <c r="AI63" s="462"/>
      <c r="AJ63" s="463"/>
      <c r="AK63" s="463"/>
      <c r="AL63" s="463"/>
      <c r="AM63" s="463"/>
      <c r="AN63" s="464"/>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62"/>
      <c r="L64" s="463"/>
      <c r="M64" s="463"/>
      <c r="N64" s="463"/>
      <c r="O64" s="463"/>
      <c r="P64" s="464"/>
      <c r="Q64" s="462"/>
      <c r="R64" s="463"/>
      <c r="S64" s="463"/>
      <c r="T64" s="463"/>
      <c r="U64" s="463"/>
      <c r="V64" s="464"/>
      <c r="W64" s="462"/>
      <c r="X64" s="463"/>
      <c r="Y64" s="463"/>
      <c r="Z64" s="463"/>
      <c r="AA64" s="463"/>
      <c r="AB64" s="464"/>
      <c r="AC64" s="462"/>
      <c r="AD64" s="463"/>
      <c r="AE64" s="463"/>
      <c r="AF64" s="463"/>
      <c r="AG64" s="463"/>
      <c r="AH64" s="464"/>
      <c r="AI64" s="462"/>
      <c r="AJ64" s="463"/>
      <c r="AK64" s="463"/>
      <c r="AL64" s="463"/>
      <c r="AM64" s="463"/>
      <c r="AN64" s="464"/>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62"/>
      <c r="L65" s="463"/>
      <c r="M65" s="463"/>
      <c r="N65" s="463"/>
      <c r="O65" s="463"/>
      <c r="P65" s="464"/>
      <c r="Q65" s="462"/>
      <c r="R65" s="463"/>
      <c r="S65" s="463"/>
      <c r="T65" s="463"/>
      <c r="U65" s="463"/>
      <c r="V65" s="464"/>
      <c r="W65" s="462"/>
      <c r="X65" s="463"/>
      <c r="Y65" s="463"/>
      <c r="Z65" s="463"/>
      <c r="AA65" s="463"/>
      <c r="AB65" s="464"/>
      <c r="AC65" s="462"/>
      <c r="AD65" s="463"/>
      <c r="AE65" s="463"/>
      <c r="AF65" s="463"/>
      <c r="AG65" s="463"/>
      <c r="AH65" s="464"/>
      <c r="AI65" s="462"/>
      <c r="AJ65" s="463"/>
      <c r="AK65" s="463"/>
      <c r="AL65" s="463"/>
      <c r="AM65" s="463"/>
      <c r="AN65" s="464"/>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62"/>
      <c r="L66" s="463"/>
      <c r="M66" s="463"/>
      <c r="N66" s="463"/>
      <c r="O66" s="463"/>
      <c r="P66" s="464"/>
      <c r="Q66" s="462"/>
      <c r="R66" s="463"/>
      <c r="S66" s="463"/>
      <c r="T66" s="463"/>
      <c r="U66" s="463"/>
      <c r="V66" s="464"/>
      <c r="W66" s="462"/>
      <c r="X66" s="463"/>
      <c r="Y66" s="463"/>
      <c r="Z66" s="463"/>
      <c r="AA66" s="463"/>
      <c r="AB66" s="464"/>
      <c r="AC66" s="462"/>
      <c r="AD66" s="463"/>
      <c r="AE66" s="463"/>
      <c r="AF66" s="463"/>
      <c r="AG66" s="463"/>
      <c r="AH66" s="464"/>
      <c r="AI66" s="462"/>
      <c r="AJ66" s="463"/>
      <c r="AK66" s="463"/>
      <c r="AL66" s="463"/>
      <c r="AM66" s="463"/>
      <c r="AN66" s="464"/>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65"/>
      <c r="L67" s="466"/>
      <c r="M67" s="466"/>
      <c r="N67" s="466"/>
      <c r="O67" s="466"/>
      <c r="P67" s="467"/>
      <c r="Q67" s="465"/>
      <c r="R67" s="466"/>
      <c r="S67" s="466"/>
      <c r="T67" s="466"/>
      <c r="U67" s="466"/>
      <c r="V67" s="467"/>
      <c r="W67" s="465"/>
      <c r="X67" s="466"/>
      <c r="Y67" s="466"/>
      <c r="Z67" s="466"/>
      <c r="AA67" s="466"/>
      <c r="AB67" s="467"/>
      <c r="AC67" s="465"/>
      <c r="AD67" s="466"/>
      <c r="AE67" s="466"/>
      <c r="AF67" s="466"/>
      <c r="AG67" s="466"/>
      <c r="AH67" s="467"/>
      <c r="AI67" s="465"/>
      <c r="AJ67" s="466"/>
      <c r="AK67" s="466"/>
      <c r="AL67" s="466"/>
      <c r="AM67" s="466"/>
      <c r="AN67" s="467"/>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C2:J5"/>
    <mergeCell ref="K2:AN5"/>
    <mergeCell ref="AO2:AU2"/>
    <mergeCell ref="AO3:AU3"/>
    <mergeCell ref="AO4:AU4"/>
    <mergeCell ref="AO5:AU5"/>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K62:P67"/>
    <mergeCell ref="Q62:V67"/>
    <mergeCell ref="W62:AB67"/>
    <mergeCell ref="AC62:AH6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B8" sqref="B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09" t="s">
        <v>244</v>
      </c>
      <c r="C2" s="512" t="s">
        <v>205</v>
      </c>
      <c r="D2" s="513"/>
      <c r="E2" s="124" t="s">
        <v>389</v>
      </c>
      <c r="F2" s="125"/>
    </row>
    <row r="3" spans="1:6" ht="15.75" customHeight="1" x14ac:dyDescent="0.25">
      <c r="B3" s="510"/>
      <c r="C3" s="240"/>
      <c r="D3" s="242"/>
      <c r="E3" s="124" t="s">
        <v>264</v>
      </c>
      <c r="F3" s="125"/>
    </row>
    <row r="4" spans="1:6" ht="16.5" customHeight="1" x14ac:dyDescent="0.25">
      <c r="B4" s="510"/>
      <c r="C4" s="240"/>
      <c r="D4" s="242"/>
      <c r="E4" s="124" t="s">
        <v>388</v>
      </c>
      <c r="F4" s="125"/>
    </row>
    <row r="5" spans="1:6" ht="15" customHeight="1" thickBot="1" x14ac:dyDescent="0.3">
      <c r="B5" s="511"/>
      <c r="C5" s="514"/>
      <c r="D5" s="515"/>
      <c r="E5" s="124" t="s">
        <v>245</v>
      </c>
      <c r="F5" s="125"/>
    </row>
    <row r="7" spans="1:6" x14ac:dyDescent="0.25">
      <c r="A7" s="516" t="s">
        <v>266</v>
      </c>
      <c r="B7" s="142" t="s">
        <v>246</v>
      </c>
      <c r="C7" s="143" t="s">
        <v>247</v>
      </c>
      <c r="D7" s="143" t="s">
        <v>248</v>
      </c>
      <c r="E7" s="143" t="s">
        <v>249</v>
      </c>
    </row>
    <row r="8" spans="1:6" ht="28.5" x14ac:dyDescent="0.25">
      <c r="A8" s="516"/>
      <c r="B8" s="126">
        <v>45687</v>
      </c>
      <c r="C8" s="127" t="s">
        <v>396</v>
      </c>
      <c r="D8" s="128" t="s">
        <v>453</v>
      </c>
      <c r="E8" s="128" t="s">
        <v>395</v>
      </c>
    </row>
    <row r="9" spans="1:6" x14ac:dyDescent="0.25">
      <c r="A9" s="516"/>
      <c r="B9" s="126"/>
      <c r="C9" s="127"/>
      <c r="D9" s="128"/>
      <c r="E9" s="128"/>
    </row>
    <row r="10" spans="1:6" x14ac:dyDescent="0.25">
      <c r="A10" s="516"/>
      <c r="B10" s="126"/>
      <c r="C10" s="127"/>
      <c r="D10" s="128"/>
      <c r="E10" s="128"/>
    </row>
    <row r="11" spans="1:6" x14ac:dyDescent="0.25">
      <c r="A11" s="516"/>
      <c r="B11" s="126"/>
      <c r="C11" s="127"/>
      <c r="D11" s="128"/>
      <c r="E11" s="128"/>
    </row>
    <row r="12" spans="1:6" x14ac:dyDescent="0.25">
      <c r="A12" s="516"/>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Calidad ETITC</cp:lastModifiedBy>
  <cp:lastPrinted>2020-05-13T01:12:22Z</cp:lastPrinted>
  <dcterms:created xsi:type="dcterms:W3CDTF">2020-03-24T23:12:47Z</dcterms:created>
  <dcterms:modified xsi:type="dcterms:W3CDTF">2025-02-03T21:18:06Z</dcterms:modified>
</cp:coreProperties>
</file>