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hidePivotFieldList="1" defaultThemeVersion="124226"/>
  <mc:AlternateContent xmlns:mc="http://schemas.openxmlformats.org/markup-compatibility/2006">
    <mc:Choice Requires="x15">
      <x15ac:absPath xmlns:x15ac="http://schemas.microsoft.com/office/spreadsheetml/2010/11/ac" url="C:\Users\calidad\Downloads\"/>
    </mc:Choice>
  </mc:AlternateContent>
  <xr:revisionPtr revIDLastSave="4" documentId="8_{121C16E1-74E0-4341-AB65-DBE83A0ABF7B}" xr6:coauthVersionLast="47" xr6:coauthVersionMax="47" xr10:uidLastSave="{5ABC4539-0BE3-459E-9F1B-04E37FF9F190}"/>
  <bookViews>
    <workbookView showSheetTabs="0" xWindow="-120" yWindow="-120" windowWidth="29040" windowHeight="15720"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8"/>
  <pivotCaches>
    <pivotCache cacheId="464"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2" i="19" l="1"/>
  <c r="AE52" i="19"/>
  <c r="AF52" i="19"/>
  <c r="AG52" i="19"/>
  <c r="S52" i="19"/>
  <c r="T52" i="19"/>
  <c r="U52" i="19"/>
  <c r="L52" i="19"/>
  <c r="M52" i="19"/>
  <c r="N52" i="19"/>
  <c r="AK42" i="19"/>
  <c r="AL42" i="19"/>
  <c r="AM42" i="19"/>
  <c r="AE42" i="19"/>
  <c r="AF42" i="19"/>
  <c r="AG42" i="19"/>
  <c r="AF43" i="19"/>
  <c r="AG43" i="19"/>
  <c r="AA42" i="19"/>
  <c r="AA43" i="19"/>
  <c r="S42" i="19"/>
  <c r="T42" i="19"/>
  <c r="U42" i="19"/>
  <c r="S43" i="19"/>
  <c r="T43" i="19"/>
  <c r="U43" i="19"/>
  <c r="S44" i="19"/>
  <c r="T44" i="19"/>
  <c r="U44" i="19"/>
  <c r="N42" i="19"/>
  <c r="O42" i="19"/>
  <c r="O43" i="19"/>
  <c r="O44" i="19"/>
  <c r="L42" i="19"/>
  <c r="L43" i="19"/>
  <c r="L44" i="19"/>
  <c r="P42" i="19"/>
  <c r="M42" i="19"/>
  <c r="K42" i="19"/>
  <c r="AJ32" i="19"/>
  <c r="AK32" i="19"/>
  <c r="AL32" i="19"/>
  <c r="AM32" i="19"/>
  <c r="AE32" i="19"/>
  <c r="AF32" i="19"/>
  <c r="AG32" i="19"/>
  <c r="AA32" i="19"/>
  <c r="R32" i="19"/>
  <c r="S32" i="19"/>
  <c r="T32" i="19"/>
  <c r="U32" i="19"/>
  <c r="V32" i="19"/>
  <c r="R33" i="19"/>
  <c r="S33" i="19"/>
  <c r="T33" i="19"/>
  <c r="U33" i="19"/>
  <c r="V33" i="19"/>
  <c r="M32" i="19"/>
  <c r="N32" i="19"/>
  <c r="O32" i="19"/>
  <c r="P32" i="19"/>
  <c r="M33" i="19"/>
  <c r="N33" i="19"/>
  <c r="O33" i="19"/>
  <c r="P33" i="19"/>
  <c r="AJ22" i="19"/>
  <c r="AK22" i="19"/>
  <c r="AL22" i="19"/>
  <c r="AM22" i="19"/>
  <c r="AN22" i="19"/>
  <c r="AJ23" i="19"/>
  <c r="AK23" i="19"/>
  <c r="AL23" i="19"/>
  <c r="AM23" i="19"/>
  <c r="AN23" i="19"/>
  <c r="AE22" i="19"/>
  <c r="AF22" i="19"/>
  <c r="AG22" i="19"/>
  <c r="AH22" i="19"/>
  <c r="Y22" i="19"/>
  <c r="Z22" i="19"/>
  <c r="AA22" i="19"/>
  <c r="AB22" i="19"/>
  <c r="Y23" i="19"/>
  <c r="Z23" i="19"/>
  <c r="AA23" i="19"/>
  <c r="AB23" i="19"/>
  <c r="R22" i="19"/>
  <c r="S22" i="19"/>
  <c r="T22" i="19"/>
  <c r="U22" i="19"/>
  <c r="V22" i="19"/>
  <c r="L22" i="19"/>
  <c r="M22" i="19"/>
  <c r="N22" i="19"/>
  <c r="O22" i="19"/>
  <c r="P22" i="19"/>
  <c r="L23" i="19"/>
  <c r="M23" i="19"/>
  <c r="N23" i="19"/>
  <c r="O23" i="19"/>
  <c r="P23" i="19"/>
  <c r="AJ12" i="19"/>
  <c r="AK12" i="19"/>
  <c r="AL12" i="19"/>
  <c r="AM12" i="19"/>
  <c r="AN12" i="19"/>
  <c r="AJ13" i="19"/>
  <c r="AK13" i="19"/>
  <c r="AL13" i="19"/>
  <c r="AM13" i="19"/>
  <c r="AN13" i="19"/>
  <c r="AE12" i="19"/>
  <c r="AF12" i="19"/>
  <c r="AG12" i="19"/>
  <c r="AH12" i="19"/>
  <c r="AE13" i="19"/>
  <c r="AF13" i="19"/>
  <c r="AG13" i="19"/>
  <c r="AH13" i="19"/>
  <c r="AA12" i="19"/>
  <c r="AA13" i="19"/>
  <c r="S12" i="19"/>
  <c r="T12" i="19"/>
  <c r="U12" i="19"/>
  <c r="M12" i="19"/>
  <c r="N12" i="19"/>
  <c r="O12" i="19"/>
  <c r="P35" i="18"/>
  <c r="N35" i="18"/>
  <c r="Z45" i="18"/>
  <c r="AF45" i="18"/>
  <c r="AH43" i="18"/>
  <c r="AL45" i="18"/>
  <c r="AN43" i="18"/>
  <c r="AF37" i="18"/>
  <c r="AH35" i="18"/>
  <c r="AL37" i="18"/>
  <c r="AN35" i="18"/>
  <c r="AL29" i="18"/>
  <c r="AN27" i="18"/>
  <c r="AB43" i="18"/>
  <c r="AB35" i="18"/>
  <c r="Z37" i="18"/>
  <c r="V35" i="18"/>
  <c r="T37" i="18"/>
  <c r="T45" i="18"/>
  <c r="P43" i="18"/>
  <c r="N45" i="18"/>
  <c r="N37" i="18"/>
  <c r="AH27" i="18"/>
  <c r="AB27" i="18"/>
  <c r="Z29" i="18"/>
  <c r="V27" i="18"/>
  <c r="T29" i="18"/>
  <c r="P27" i="18"/>
  <c r="N29" i="18"/>
  <c r="N21" i="18"/>
  <c r="P19" i="18"/>
  <c r="T21" i="18"/>
  <c r="V19" i="18"/>
  <c r="Z21" i="18"/>
  <c r="AB19" i="18"/>
  <c r="AH19" i="18"/>
  <c r="AF21" i="18"/>
  <c r="AN19" i="18"/>
  <c r="AL21" i="18"/>
  <c r="AN11" i="18"/>
  <c r="AL13" i="18"/>
  <c r="AH11" i="18"/>
  <c r="AF13" i="18"/>
  <c r="AB11" i="18"/>
  <c r="Z13" i="18"/>
  <c r="Z15" i="18"/>
  <c r="V11" i="18"/>
  <c r="T13" i="18"/>
  <c r="L13" i="18"/>
  <c r="N13" i="18"/>
  <c r="P13" i="18"/>
  <c r="L15" i="18"/>
  <c r="N15" i="18"/>
  <c r="P15" i="18"/>
  <c r="L17" i="18"/>
  <c r="N17" i="18"/>
  <c r="P17" i="18"/>
  <c r="N11" i="18"/>
  <c r="P11" i="18"/>
  <c r="L37" i="18"/>
  <c r="L35" i="18"/>
  <c r="S19" i="1"/>
  <c r="T19" i="1" s="1"/>
  <c r="AC19" i="1"/>
  <c r="AO19" i="1" s="1"/>
  <c r="AN19" i="1" s="1"/>
  <c r="AF19" i="1"/>
  <c r="AK19" i="1"/>
  <c r="AL19" i="1" s="1"/>
  <c r="S20" i="1"/>
  <c r="T20" i="1" s="1"/>
  <c r="AC20" i="1"/>
  <c r="AO20" i="1" s="1"/>
  <c r="AN20" i="1" s="1"/>
  <c r="AF20" i="1"/>
  <c r="AK20" i="1"/>
  <c r="AL20" i="1" s="1"/>
  <c r="AP19" i="1" l="1"/>
  <c r="AP20" i="1"/>
  <c r="AM20" i="1"/>
  <c r="AM19" i="1"/>
  <c r="L41" i="19" l="1"/>
  <c r="AK22" i="1" l="1"/>
  <c r="AK21" i="1"/>
  <c r="AC16" i="1" l="1"/>
  <c r="AF16" i="1"/>
  <c r="S17" i="1"/>
  <c r="T17" i="1" s="1"/>
  <c r="AC17" i="1"/>
  <c r="AF17" i="1"/>
  <c r="S18" i="1"/>
  <c r="T18" i="1" s="1"/>
  <c r="AC18" i="1"/>
  <c r="AF18" i="1"/>
  <c r="S21" i="1"/>
  <c r="T21" i="1" s="1"/>
  <c r="AC21" i="1"/>
  <c r="AF21" i="1"/>
  <c r="S22" i="1"/>
  <c r="AC22" i="1"/>
  <c r="AO22" i="1" s="1"/>
  <c r="AN22" i="1" s="1"/>
  <c r="AF22" i="1"/>
  <c r="AF15" i="1"/>
  <c r="AC15" i="1"/>
  <c r="S15" i="1"/>
  <c r="AK18" i="1" l="1"/>
  <c r="AL18" i="1" s="1"/>
  <c r="AK17" i="1"/>
  <c r="AL21" i="1"/>
  <c r="AM21" i="1"/>
  <c r="AO21" i="1"/>
  <c r="AN21" i="1" s="1"/>
  <c r="AO16" i="1"/>
  <c r="AN16" i="1" s="1"/>
  <c r="T22" i="1"/>
  <c r="T15" i="1"/>
  <c r="AK15" i="1" s="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H53" i="19"/>
  <c r="AG53" i="19"/>
  <c r="AF53" i="19"/>
  <c r="AE53" i="19"/>
  <c r="AB53" i="19"/>
  <c r="Z53" i="19"/>
  <c r="Y53" i="19"/>
  <c r="V53" i="19"/>
  <c r="U53" i="19"/>
  <c r="T53" i="19"/>
  <c r="S53" i="19"/>
  <c r="P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R44" i="19"/>
  <c r="Q44" i="19"/>
  <c r="P44" i="19"/>
  <c r="N44" i="19"/>
  <c r="M44" i="19"/>
  <c r="K44" i="19"/>
  <c r="AN43" i="19"/>
  <c r="AM43" i="19"/>
  <c r="AL43" i="19"/>
  <c r="AK43" i="19"/>
  <c r="AH43" i="19"/>
  <c r="AE43" i="19"/>
  <c r="AB43" i="19"/>
  <c r="Z43" i="19"/>
  <c r="Y43" i="19"/>
  <c r="V43" i="19"/>
  <c r="P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H23" i="19"/>
  <c r="AG23" i="19"/>
  <c r="AF23" i="19"/>
  <c r="AE23" i="19"/>
  <c r="V23" i="19"/>
  <c r="U23" i="19"/>
  <c r="T23" i="19"/>
  <c r="S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C14" i="19"/>
  <c r="AD14" i="19"/>
  <c r="AE14" i="19"/>
  <c r="AF14" i="19"/>
  <c r="AH14" i="19"/>
  <c r="AG14" i="19"/>
  <c r="AH21" i="19"/>
  <c r="AG15"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P45" i="18"/>
  <c r="N43" i="18"/>
  <c r="L41" i="18"/>
  <c r="N41" i="18"/>
  <c r="P41" i="18"/>
  <c r="R41" i="18"/>
  <c r="T41" i="18"/>
  <c r="V41" i="18"/>
  <c r="X41" i="18"/>
  <c r="Z41" i="18"/>
  <c r="AB41" i="18"/>
  <c r="AD41" i="18"/>
  <c r="AF41" i="18"/>
  <c r="AH41" i="18"/>
  <c r="AJ41" i="18"/>
  <c r="AL41" i="18"/>
  <c r="AN41" i="18"/>
  <c r="AN39" i="18"/>
  <c r="AH39" i="18"/>
  <c r="AB39" i="18"/>
  <c r="V39" i="18"/>
  <c r="P39" i="18"/>
  <c r="N39" i="18"/>
  <c r="P37" i="18"/>
  <c r="AN33" i="18"/>
  <c r="AL33" i="18"/>
  <c r="AJ33" i="18"/>
  <c r="AH33" i="18"/>
  <c r="AF33" i="18"/>
  <c r="AD33" i="18"/>
  <c r="AB33" i="18"/>
  <c r="Z33" i="18"/>
  <c r="X33" i="18"/>
  <c r="V33" i="18"/>
  <c r="T33" i="18"/>
  <c r="R33" i="18"/>
  <c r="P33" i="18"/>
  <c r="N33" i="18"/>
  <c r="L33" i="18"/>
  <c r="N31" i="18"/>
  <c r="P31" i="18"/>
  <c r="V31" i="18"/>
  <c r="AB31" i="18"/>
  <c r="AH31" i="18"/>
  <c r="AN31" i="18"/>
  <c r="P29" i="18"/>
  <c r="N27" i="18"/>
  <c r="AN25" i="18"/>
  <c r="AL25" i="18"/>
  <c r="AJ25" i="18"/>
  <c r="AN23" i="18"/>
  <c r="AH25" i="18"/>
  <c r="AF25" i="18"/>
  <c r="AD25" i="18"/>
  <c r="AH23" i="18"/>
  <c r="AB25" i="18"/>
  <c r="X25" i="18"/>
  <c r="Z25" i="18"/>
  <c r="AB23" i="18"/>
  <c r="V25" i="18"/>
  <c r="T25" i="18"/>
  <c r="R25" i="18"/>
  <c r="V23" i="18"/>
  <c r="P25" i="18"/>
  <c r="N25" i="18"/>
  <c r="L25" i="18"/>
  <c r="P23" i="18"/>
  <c r="N23" i="18"/>
  <c r="P21" i="18"/>
  <c r="N19" i="18"/>
  <c r="AN17" i="18"/>
  <c r="AL17" i="18"/>
  <c r="AJ17" i="18"/>
  <c r="AN15" i="18"/>
  <c r="AH17" i="18"/>
  <c r="AF17" i="18"/>
  <c r="AD17" i="18"/>
  <c r="AH15" i="18"/>
  <c r="AB17" i="18"/>
  <c r="Z17" i="18"/>
  <c r="X17" i="18"/>
  <c r="AB15" i="18"/>
  <c r="V17" i="18"/>
  <c r="V15" i="18"/>
  <c r="T17" i="18"/>
  <c r="R17" i="18"/>
  <c r="AM18" i="1" l="1"/>
  <c r="AM17" i="1"/>
  <c r="AL17" i="1"/>
  <c r="AP21" i="1"/>
  <c r="AL22" i="1"/>
  <c r="AP22" i="1" s="1"/>
  <c r="AM22" i="1"/>
  <c r="AM15" i="1"/>
  <c r="AK16" i="1" s="1"/>
  <c r="AL15" i="1"/>
  <c r="AN13" i="18"/>
  <c r="AN29" i="18"/>
  <c r="AN37" i="18"/>
  <c r="AN21" i="18"/>
  <c r="AN45" i="18"/>
  <c r="AL16" i="1" l="1"/>
  <c r="AM16" i="1"/>
  <c r="H10" i="27"/>
  <c r="G29" i="27" s="1"/>
  <c r="H9" i="27"/>
  <c r="H8" i="27"/>
  <c r="F29" i="27"/>
  <c r="E29" i="27"/>
  <c r="AP16" i="1" l="1"/>
  <c r="S27" i="1"/>
  <c r="F221" i="13" l="1"/>
  <c r="F211" i="13"/>
  <c r="F212" i="13"/>
  <c r="F213" i="13"/>
  <c r="F214" i="13"/>
  <c r="F215" i="13"/>
  <c r="F216" i="13"/>
  <c r="F217" i="13"/>
  <c r="F218" i="13"/>
  <c r="F219" i="13"/>
  <c r="F220" i="13"/>
  <c r="F210" i="13"/>
  <c r="B221" i="13" a="1"/>
  <c r="B221" i="13" l="1"/>
  <c r="H210" i="13" l="1"/>
  <c r="AD53" i="19" l="1"/>
  <c r="X23" i="19"/>
  <c r="X13" i="19"/>
  <c r="R43" i="19"/>
  <c r="R53" i="19"/>
  <c r="R23" i="19"/>
  <c r="AD13" i="19"/>
  <c r="X53" i="19"/>
  <c r="AJ43" i="19"/>
  <c r="L33" i="19"/>
  <c r="L53" i="19"/>
  <c r="AJ3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I53" i="19"/>
  <c r="AJ52" i="19"/>
  <c r="R52" i="19"/>
  <c r="X52" i="19"/>
  <c r="AJ42" i="19"/>
  <c r="X42" i="19"/>
  <c r="AD42" i="19"/>
  <c r="R42" i="19"/>
  <c r="AD32" i="19"/>
  <c r="X32" i="19"/>
  <c r="L32" i="19"/>
  <c r="X22" i="19"/>
  <c r="AD22" i="19"/>
  <c r="AD12" i="19"/>
  <c r="X12" i="19"/>
  <c r="L12" i="19"/>
  <c r="R12" i="19"/>
  <c r="AF35" i="18" l="1"/>
  <c r="Z35" i="18"/>
  <c r="T19" i="18"/>
  <c r="Z43" i="18"/>
  <c r="Z27" i="18"/>
  <c r="Z11" i="18"/>
  <c r="AF19" i="18"/>
  <c r="T11" i="18"/>
  <c r="T43" i="18"/>
  <c r="AL27" i="18"/>
  <c r="T27" i="18"/>
  <c r="T35" i="18"/>
  <c r="AF43" i="18"/>
  <c r="Z19" i="18"/>
  <c r="AL19" i="18"/>
  <c r="AF27" i="18"/>
  <c r="AL11" i="18"/>
  <c r="AF11" i="18"/>
  <c r="AL43" i="18"/>
  <c r="AL35" i="18"/>
  <c r="V21" i="1" l="1"/>
  <c r="W21" i="1" s="1"/>
  <c r="V17" i="1"/>
  <c r="W17" i="1" s="1"/>
  <c r="V18" i="1"/>
  <c r="W18" i="1" s="1"/>
  <c r="V20" i="1"/>
  <c r="W20" i="1" s="1"/>
  <c r="V22" i="1"/>
  <c r="W22" i="1" s="1"/>
  <c r="V19" i="1"/>
  <c r="W19" i="1" s="1"/>
  <c r="V15" i="1"/>
  <c r="W15" i="1" s="1"/>
  <c r="Y19" i="1" l="1"/>
  <c r="X19" i="1"/>
  <c r="T15" i="18"/>
  <c r="T31" i="18"/>
  <c r="X22" i="1"/>
  <c r="Z47" i="18"/>
  <c r="AL39" i="18"/>
  <c r="Z31" i="18"/>
  <c r="T39" i="18"/>
  <c r="AL47" i="18"/>
  <c r="AF39" i="18"/>
  <c r="Z39" i="18"/>
  <c r="AL23" i="18"/>
  <c r="Z23" i="18"/>
  <c r="AL31" i="18"/>
  <c r="T23" i="18"/>
  <c r="T47" i="18"/>
  <c r="Y22" i="1"/>
  <c r="AF47" i="18"/>
  <c r="AL15" i="18"/>
  <c r="AF23" i="18"/>
  <c r="AF15" i="18"/>
  <c r="X20" i="1"/>
  <c r="Y20" i="1"/>
  <c r="AB37" i="18"/>
  <c r="V21" i="18"/>
  <c r="AB21" i="18"/>
  <c r="X18" i="1"/>
  <c r="AO18" i="1" s="1"/>
  <c r="AN18" i="1" s="1"/>
  <c r="AH21" i="18"/>
  <c r="AH45" i="18"/>
  <c r="Y18" i="1"/>
  <c r="AH29" i="18"/>
  <c r="AB45" i="18"/>
  <c r="V29" i="18"/>
  <c r="V13" i="18"/>
  <c r="V37" i="18"/>
  <c r="AB13" i="18"/>
  <c r="AH13" i="18"/>
  <c r="AH37" i="18"/>
  <c r="AB29" i="18"/>
  <c r="R21" i="18"/>
  <c r="L21" i="18"/>
  <c r="X21" i="18"/>
  <c r="X37" i="18"/>
  <c r="AD45" i="18"/>
  <c r="Y17" i="1"/>
  <c r="L45" i="18"/>
  <c r="AJ29" i="18"/>
  <c r="X17" i="1"/>
  <c r="AO17" i="1" s="1"/>
  <c r="AN17" i="1" s="1"/>
  <c r="X45" i="18"/>
  <c r="AD37" i="18"/>
  <c r="AD21" i="18"/>
  <c r="R29" i="18"/>
  <c r="R37" i="18"/>
  <c r="AJ21" i="18"/>
  <c r="X13" i="18"/>
  <c r="AD13" i="18"/>
  <c r="X29" i="18"/>
  <c r="AJ13" i="18"/>
  <c r="R13" i="18"/>
  <c r="L29" i="18"/>
  <c r="AJ37" i="18"/>
  <c r="AD29" i="18"/>
  <c r="R45" i="18"/>
  <c r="AJ45" i="18"/>
  <c r="Y21" i="1"/>
  <c r="X21" i="1"/>
  <c r="R47" i="18"/>
  <c r="AD15" i="18"/>
  <c r="AJ39" i="18"/>
  <c r="R39" i="18"/>
  <c r="X31" i="18"/>
  <c r="R23" i="18"/>
  <c r="AD31" i="18"/>
  <c r="L31" i="18"/>
  <c r="AJ23" i="18"/>
  <c r="AJ15" i="18"/>
  <c r="AD47" i="18"/>
  <c r="X39" i="18"/>
  <c r="X23" i="18"/>
  <c r="R15" i="18"/>
  <c r="L47" i="18"/>
  <c r="R31" i="18"/>
  <c r="X47" i="18"/>
  <c r="L39" i="18"/>
  <c r="L23" i="18"/>
  <c r="AJ47" i="18"/>
  <c r="X15" i="18"/>
  <c r="AD23" i="18"/>
  <c r="AD39" i="18"/>
  <c r="AJ31" i="18"/>
  <c r="Y15" i="1"/>
  <c r="AD11" i="18"/>
  <c r="AJ43" i="18"/>
  <c r="X15" i="1"/>
  <c r="AO15" i="1" s="1"/>
  <c r="AN15" i="1" s="1"/>
  <c r="AJ11" i="18"/>
  <c r="X11" i="18"/>
  <c r="X35" i="18"/>
  <c r="AJ19" i="18"/>
  <c r="X27" i="18"/>
  <c r="X19" i="18"/>
  <c r="AJ35" i="18"/>
  <c r="R19" i="18"/>
  <c r="L11" i="18"/>
  <c r="AD43" i="18"/>
  <c r="R11" i="18"/>
  <c r="AD19" i="18"/>
  <c r="L19" i="18"/>
  <c r="AJ27" i="18"/>
  <c r="R35" i="18"/>
  <c r="AD35" i="18"/>
  <c r="R27" i="18"/>
  <c r="R43" i="18"/>
  <c r="AD27" i="18"/>
  <c r="L27" i="18"/>
  <c r="L43" i="18"/>
  <c r="X43" i="18"/>
  <c r="AP18" i="1" l="1"/>
  <c r="V42" i="19"/>
  <c r="AN42" i="19"/>
  <c r="P52" i="19"/>
  <c r="AB52" i="19"/>
  <c r="AH32" i="19"/>
  <c r="AB32" i="19"/>
  <c r="AH42" i="19"/>
  <c r="AB42" i="19"/>
  <c r="V12" i="19"/>
  <c r="AH52" i="19"/>
  <c r="AB12" i="19"/>
  <c r="P12" i="19"/>
  <c r="AN32" i="19"/>
  <c r="V52" i="19"/>
  <c r="AN52" i="19"/>
  <c r="AP17" i="1"/>
  <c r="Z12" i="19"/>
  <c r="Z52" i="19"/>
  <c r="AL52" i="19"/>
  <c r="Z42" i="19"/>
  <c r="Z32" i="19"/>
  <c r="K32" i="19"/>
  <c r="AI52" i="19"/>
  <c r="W52" i="19"/>
  <c r="Q22" i="19"/>
  <c r="W12" i="19"/>
  <c r="AC32" i="19"/>
  <c r="AI22" i="19"/>
  <c r="W32" i="19"/>
  <c r="AP15" i="1"/>
  <c r="K12" i="19"/>
  <c r="Q42" i="19"/>
  <c r="AC22" i="19"/>
  <c r="Q32" i="19"/>
  <c r="AC12" i="19"/>
  <c r="W42" i="19"/>
  <c r="W22" i="19"/>
  <c r="Q12" i="19"/>
  <c r="Q52" i="19"/>
  <c r="AI42" i="19"/>
  <c r="K52" i="19"/>
  <c r="AI12" i="19"/>
  <c r="AC52" i="19"/>
  <c r="K22" i="19"/>
  <c r="AC42" i="19"/>
  <c r="AI3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N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<sst xmlns="http://schemas.openxmlformats.org/spreadsheetml/2006/main" count="743" uniqueCount="441">
  <si>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</si>
  <si>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MAPA Y PLAN DE TRATAMIENTO DE RIESGOS</t>
  </si>
  <si>
    <t>CÓDIGO: GSI- CA-FO-09</t>
  </si>
  <si>
    <t>https://kawak.com.co/itc/</t>
  </si>
  <si>
    <t>VERSIÓN: 8</t>
  </si>
  <si>
    <t>VIGENCIA: 2024-09-20</t>
  </si>
  <si>
    <t>PÁGINA:     1 de 1</t>
  </si>
  <si>
    <t xml:space="preserve">PREGUNTAR  RIESGOS DE CORRUPCIÓN </t>
  </si>
  <si>
    <r>
      <rPr>
        <b/>
        <sz val="6"/>
        <color rgb="FF000000"/>
        <rFont val="Arial"/>
        <family val="2"/>
      </rPr>
      <t xml:space="preserve">Escuela Tecnológica Instituto Técnico Central
</t>
    </r>
    <r>
      <rPr>
        <b/>
        <sz val="5"/>
        <color rgb="FF000000"/>
        <rFont val="Arial"/>
        <family val="2"/>
      </rPr>
      <t>Establecimiento Público de Educación Superior</t>
    </r>
  </si>
  <si>
    <t>CRITERIOS PARA CALIFICAR EL IMPACTO EN RIESGOS DE CORRUPCIÓN</t>
  </si>
  <si>
    <t>CÓDIGO:GSI- CA-FO-09</t>
  </si>
  <si>
    <t>REGRESAR</t>
  </si>
  <si>
    <t>ITEM</t>
  </si>
  <si>
    <t>Criterios para calificar el impacto en riesgos de corrupción</t>
  </si>
  <si>
    <t>MARACAR CON X</t>
  </si>
  <si>
    <t>Pregunta: ¿Si el riesgo de corrupción se materializa podría:</t>
  </si>
  <si>
    <t>SI</t>
  </si>
  <si>
    <t>NO</t>
  </si>
  <si>
    <t>¿Afectar al grupo de funcionarios del proceso?</t>
  </si>
  <si>
    <t>X</t>
  </si>
  <si>
    <t>¿Afectar el cumplimiento de metas y objetivos de la dependencia?</t>
  </si>
  <si>
    <t>¿Afectar el cumplimiento de misión de la entidad?</t>
  </si>
  <si>
    <t>¿Afectar el cumplimiento de la misión del sector al que pertenece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</si>
  <si>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</si>
  <si>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</si>
  <si>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</si>
  <si>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</si>
  <si>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</si>
  <si>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</si>
  <si>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</si>
  <si>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</si>
  <si>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</si>
  <si>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</si>
  <si>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</si>
  <si>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</si>
  <si>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</si>
  <si>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</si>
  <si>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</si>
  <si>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</si>
  <si>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</si>
  <si>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VERSIÓN:  8</t>
  </si>
  <si>
    <t>PÁGINA:    1 de 1</t>
  </si>
  <si>
    <t>Proceso:</t>
  </si>
  <si>
    <t xml:space="preserve">EGRESADOS </t>
  </si>
  <si>
    <t>Objetivo:</t>
  </si>
  <si>
    <t>Fortalecer los lazos de fraternidad entre los graduados y la institución estructurando un sistema de comunicación permanente y efectivo que facilite la realimentación de los graduados con la Escuela Tecnológica ITC de acuerdo a los conocimientos adquiridos frente a las 
necesidades de la empresa donde presta sus servicios para mejorar su competitividad, contribuir a su cohesión social con su participación de conocimientos e las necesidades personales, sociales y profesionales.</t>
  </si>
  <si>
    <t>Alcance:</t>
  </si>
  <si>
    <t>Desde la caracterización de egresados, hasta el informe de gestión donde se evidencie la ejecución de las estrategias implementadas con la comunidad de egresados.</t>
  </si>
  <si>
    <t>PRIMERA LÍNEA DE DEFENSA (Líder del Proceso)</t>
  </si>
  <si>
    <t xml:space="preserve">SEGUNDA LÍNEA DE DEFENSA (Oficina asesora de Planeación) </t>
  </si>
  <si>
    <t>TERCERA LÍNEA DE DEFENSA (Control Interno)</t>
  </si>
  <si>
    <t>Identificación del riesgo</t>
  </si>
  <si>
    <t>Análisis del riesgo inherente</t>
  </si>
  <si>
    <t>Evaluación del riesgo - Valoración de los controles</t>
  </si>
  <si>
    <t>Documentación</t>
  </si>
  <si>
    <t>Evaluación del riesgo - Nivel del riesgo residual</t>
  </si>
  <si>
    <t>Plan de Acción</t>
  </si>
  <si>
    <t xml:space="preserve">Referencia </t>
  </si>
  <si>
    <t>Tipo de Riesgo  (Clasificación)</t>
  </si>
  <si>
    <t>Impacto</t>
  </si>
  <si>
    <t>Efecto Dañoso (fiscal)</t>
  </si>
  <si>
    <t>Factor</t>
  </si>
  <si>
    <t xml:space="preserve">Seguridad de la información </t>
  </si>
  <si>
    <t>Causa Inmediata
CAUSA (VULNERABILIDADES)</t>
  </si>
  <si>
    <t>Su causas de la causa raíz</t>
  </si>
  <si>
    <t>Causa Raíz-Amenazas</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</si>
  <si>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</si>
  <si>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</si>
  <si>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</si>
  <si>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</si>
  <si>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</si>
  <si>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</si>
  <si>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</si>
  <si>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</si>
  <si>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</si>
  <si>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</si>
  <si>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</si>
  <si>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Soportes del Control</t>
  </si>
  <si>
    <t>Afectación</t>
  </si>
  <si>
    <t>Atributos</t>
  </si>
  <si>
    <t>Probabilidad Residual</t>
  </si>
  <si>
    <t>Probabilidad Residual Final</t>
  </si>
  <si>
    <t>Impacto Residual Final</t>
  </si>
  <si>
    <t>Zona de Riesgo Final</t>
  </si>
  <si>
    <t>Tratamiento</t>
  </si>
  <si>
    <t xml:space="preserve">Seguridad de la Información </t>
  </si>
  <si>
    <t>Responsable</t>
  </si>
  <si>
    <t>Fecha Implementación</t>
  </si>
  <si>
    <t>Fecha Seguimiento</t>
  </si>
  <si>
    <t>Seguimiento
1º línea de defensa
(Abril)</t>
  </si>
  <si>
    <t>Estado</t>
  </si>
  <si>
    <t>Seguimiento
2º línea de defensa
(Agosto)</t>
  </si>
  <si>
    <t>Evidencias</t>
  </si>
  <si>
    <t>Seguimiento
3º línea de defensa
(Noviembre)</t>
  </si>
  <si>
    <t>CAUSA (VULNERABILIDADES)</t>
  </si>
  <si>
    <t>Amenazas</t>
  </si>
  <si>
    <t>Activo de información afectado</t>
  </si>
  <si>
    <t>Criterio afectado</t>
  </si>
  <si>
    <t>Tipo</t>
  </si>
  <si>
    <t>Implementación</t>
  </si>
  <si>
    <t>Calificación</t>
  </si>
  <si>
    <t>Frecuencia</t>
  </si>
  <si>
    <t>Evidencia</t>
  </si>
  <si>
    <t xml:space="preserve">Plan de Contingencia </t>
  </si>
  <si>
    <t>Gestión</t>
  </si>
  <si>
    <t>Reputacional</t>
  </si>
  <si>
    <t>Recursos públicos</t>
  </si>
  <si>
    <t>Procesos</t>
  </si>
  <si>
    <t xml:space="preserve">
D4 - Dificultades en la recolección de la información</t>
  </si>
  <si>
    <t>Falta de Divulgación de los eventos oportuna</t>
  </si>
  <si>
    <t xml:space="preserve">Posibilidad de afectación reputacional , debido a la baja participación de los eventos a los que se convoca </t>
  </si>
  <si>
    <t>Ejecución y Administración de procesos</t>
  </si>
  <si>
    <t>Información</t>
  </si>
  <si>
    <t>NA</t>
  </si>
  <si>
    <t xml:space="preserve">     El riesgo afecta la imagen de alguna área de la organización</t>
  </si>
  <si>
    <t xml:space="preserve">El líder del procesos / Profesional, en conjunto con el área de Registro y Control realizarse la apertura de encuesta OLE  e Institucional en el proceso de Graduación 
En caso de que el Estudiante no gestiona la Encuesta, se remite por medio de Correo Institucional </t>
  </si>
  <si>
    <t xml:space="preserve">La apertura de las encuestas  de acuerdo a calendario y se verifica en el repositorio de las encuestas diligenciadas 
El estudiante recibe información, diligencia y tiene el soporte de lo realizado desde la trazabilidad del soporte emitido </t>
  </si>
  <si>
    <t>Preventivo</t>
  </si>
  <si>
    <t>Manual</t>
  </si>
  <si>
    <t>Documentado</t>
  </si>
  <si>
    <t>Continua</t>
  </si>
  <si>
    <t>Con Registro</t>
  </si>
  <si>
    <t xml:space="preserve">Acuerdo # 09 de 2021 </t>
  </si>
  <si>
    <t>Reducir (mitigar)</t>
  </si>
  <si>
    <t xml:space="preserve">Activar las Encuestas de acuerdo al Calendario Académico para el proceso de Graduación </t>
  </si>
  <si>
    <t xml:space="preserve">Profesional de Egresados </t>
  </si>
  <si>
    <t xml:space="preserve">Identificación del Riesgo </t>
  </si>
  <si>
    <t>En curso</t>
  </si>
  <si>
    <t xml:space="preserve">	
A1 - Falta de participación nuestros Egresados en las actividades propuestas por el Programa de Egresados</t>
  </si>
  <si>
    <t xml:space="preserve">El líder del Proceso /profesional, realizara la gestión oportuna de los eventos, programados mediante redes sociales y/o mecanismos de comunicación establecidos 
Enviar notificación de correos autorizados para dar la información </t>
  </si>
  <si>
    <t xml:space="preserve">La solicitud de divulgación y los correos a quienes se les trasmite la información de que se hagan participes en los eventos 
Los correos a los que se envía la información mes la base de datos obtenida en el proceso de actualización de datos y de Diligenciamiento de Formas de invitaciones </t>
  </si>
  <si>
    <t>Aleatoria</t>
  </si>
  <si>
    <t xml:space="preserve">EGR-PN-01 GESTION DE EGRESADOS </t>
  </si>
  <si>
    <t xml:space="preserve">Gestionar de forma oportuna los comunicados en donde se les solicita a los egresados sean participes de los eventos </t>
  </si>
  <si>
    <t xml:space="preserve">Fiscal </t>
  </si>
  <si>
    <t>Daño fiscal</t>
  </si>
  <si>
    <t>D7 Perdida o robo de los activos fijos durante eventos de asistencia interna</t>
  </si>
  <si>
    <t xml:space="preserve">Faltas de sistemas de Control de ingreso salida de activos </t>
  </si>
  <si>
    <t xml:space="preserve">Posibilidad dañoso sobre bienes públicos por perdida , extravió o Hurto de Activos , debido a la falta de controles de los activos en el ingreso y salida de los mismos </t>
  </si>
  <si>
    <t>Servicios</t>
  </si>
  <si>
    <t>Confidencialidad</t>
  </si>
  <si>
    <t xml:space="preserve">     Afectación menor a 10 SMLMV .</t>
  </si>
  <si>
    <t xml:space="preserve">El profesional responsable debe realizar  el reporte de Salida e ingreso según corresponda al área de Almacén General </t>
  </si>
  <si>
    <t xml:space="preserve">Mediante el Formato de Control de Referencia GRF -FO-16  en formatos institucionales del SGC </t>
  </si>
  <si>
    <t xml:space="preserve">GRF-PC-03 PROCEDIMIENTO ADMINISTRSCION Y CONTROL DE LOS ACTIVOS FIJOS </t>
  </si>
  <si>
    <t xml:space="preserve">Reportar la entrada y salida de activos fijos mediante el procedimiento descrito </t>
  </si>
  <si>
    <t>Seguridad digital</t>
  </si>
  <si>
    <t>Tecnología</t>
  </si>
  <si>
    <t>A3 - Perdida de Información por Hacker Informáticos</t>
  </si>
  <si>
    <t xml:space="preserve">Ingresar a links de Correos mal intencionados y se puede causar dicha acción de daño cibernético </t>
  </si>
  <si>
    <t xml:space="preserve">Afectación en lo concerniente a la reputación por ataques de tipo cibernéticos o fuentes externas , falta de sensibilización de las políticas de seguridad de la información </t>
  </si>
  <si>
    <t>Fallas Tecnológicas</t>
  </si>
  <si>
    <t>Hardware</t>
  </si>
  <si>
    <t>Disponibilidad</t>
  </si>
  <si>
    <t xml:space="preserve">El profesional del área y sus colaboradores deben realizar reporte de correos desconocidos o mal intencionados a la mesa de ayuda , para mitigar el daño en los sistemas de información </t>
  </si>
  <si>
    <t xml:space="preserve">Código asignado por Mesa de Ayuda </t>
  </si>
  <si>
    <t xml:space="preserve">GIT-PC-08 Procedimiento Gestión de Servicios de TI  </t>
  </si>
  <si>
    <t xml:space="preserve">Realizar el reporte los correo, mensajes y otros  que sean sospechosos y afecten la calidad del servicio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</si>
  <si>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</si>
  <si>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color rgb="FF000000"/>
        <rFont val="Arial"/>
      </rPr>
      <t>LÍDER DEL PROCESO:</t>
    </r>
    <r>
      <rPr>
        <sz val="14"/>
        <color rgb="FF000000"/>
        <rFont val="Arial"/>
      </rPr>
      <t xml:space="preserve">  John Freddy Ortegate</t>
    </r>
  </si>
  <si>
    <t>Fecha: 3/31/2025</t>
  </si>
  <si>
    <t>CLASIF. DE CONFIDENCIALIDAD</t>
  </si>
  <si>
    <t>IPB</t>
  </si>
  <si>
    <t>CLASIF. DE INTEGRIDAD</t>
  </si>
  <si>
    <t>A</t>
  </si>
  <si>
    <t>CLASIF. DE DISPONIBILIDAD</t>
  </si>
  <si>
    <t xml:space="preserve">Documento controlado por el Sistema de Gestión de la Calidad
Asegúrese que corresponde a la última versión consultando el micrositio de calidad de la Escuela Tecnológica Instituto Técnico Central (ETITC) </t>
  </si>
  <si>
    <t>14.	Tipología de riesgos que enmarcan la política de administración del riesgo</t>
  </si>
  <si>
    <t>6.4.	 Identificación de áreas de factores de riesgo</t>
  </si>
  <si>
    <t>FACTOR</t>
  </si>
  <si>
    <t xml:space="preserve">Clasificacion del riesgo </t>
  </si>
  <si>
    <t>Activo de información</t>
  </si>
  <si>
    <t>Criterio</t>
  </si>
  <si>
    <t>Plan de accion (solo para la opción reducir)</t>
  </si>
  <si>
    <t>•	Procesos</t>
  </si>
  <si>
    <t>Económico</t>
  </si>
  <si>
    <t>Evento externo</t>
  </si>
  <si>
    <t>Daños Activos Fisicos</t>
  </si>
  <si>
    <t>Automático</t>
  </si>
  <si>
    <t>Registro Sustancial</t>
  </si>
  <si>
    <t>Aceptar</t>
  </si>
  <si>
    <t>Finalizado</t>
  </si>
  <si>
    <t>Corrupción</t>
  </si>
  <si>
    <t>•	Talento humano</t>
  </si>
  <si>
    <t>Bienes públicos</t>
  </si>
  <si>
    <t>Financiero</t>
  </si>
  <si>
    <t>Ejecucion y Administracion de procesos</t>
  </si>
  <si>
    <t xml:space="preserve">Software </t>
  </si>
  <si>
    <t>Detectivo</t>
  </si>
  <si>
    <t>Sin Documentar</t>
  </si>
  <si>
    <t>Registro Material</t>
  </si>
  <si>
    <t>Evitar</t>
  </si>
  <si>
    <t>Estratégico</t>
  </si>
  <si>
    <t>•	Tecnología</t>
  </si>
  <si>
    <t>Económico y Reputacional</t>
  </si>
  <si>
    <t>Intereses patrimoniales de naturaleza pública</t>
  </si>
  <si>
    <t>Infraestructura</t>
  </si>
  <si>
    <t>Fallas Tecnologicas</t>
  </si>
  <si>
    <t>Integridad</t>
  </si>
  <si>
    <t>Correctivo</t>
  </si>
  <si>
    <t>Sin registro</t>
  </si>
  <si>
    <t>Reducir</t>
  </si>
  <si>
    <t>•	Infraestructura</t>
  </si>
  <si>
    <t>Instalaciones</t>
  </si>
  <si>
    <t>Fraude Externo</t>
  </si>
  <si>
    <t>NO APLICA</t>
  </si>
  <si>
    <t>Tecnológico</t>
  </si>
  <si>
    <t>•	Evento externo</t>
  </si>
  <si>
    <t>Jurídico - Disciplinario</t>
  </si>
  <si>
    <t>Talento humano</t>
  </si>
  <si>
    <t>Fraude Interno</t>
  </si>
  <si>
    <t>Intangibles</t>
  </si>
  <si>
    <t>Reducir (compartir)</t>
  </si>
  <si>
    <t>Relaciones Laborales</t>
  </si>
  <si>
    <t>Componentes
de red</t>
  </si>
  <si>
    <t>Imagen</t>
  </si>
  <si>
    <t>Usuarios, productos y practicas , organizacionales</t>
  </si>
  <si>
    <t>Personas</t>
  </si>
  <si>
    <t>Seguridad y salud en el trabajo</t>
  </si>
  <si>
    <t>Operativo</t>
  </si>
  <si>
    <t>Ambiental</t>
  </si>
  <si>
    <t xml:space="preserve">Servicios, Software, Hardware </t>
  </si>
  <si>
    <t xml:space="preserve">Servicios, Software, Documental </t>
  </si>
  <si>
    <t xml:space="preserve">Servicios, Software, Hardware, Documental </t>
  </si>
  <si>
    <t>Redaccion del Riesgo General</t>
  </si>
  <si>
    <t xml:space="preserve">Redaccion del Riesgo  fiscal </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</si>
  <si>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</si>
  <si>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</si>
  <si>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</si>
  <si>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</si>
  <si>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</si>
  <si>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</si>
  <si>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</si>
  <si>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</si>
  <si>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</si>
  <si>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</si>
  <si>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</si>
  <si>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</si>
  <si>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</si>
  <si>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</si>
  <si>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</si>
  <si>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</si>
  <si>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</si>
  <si>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</si>
  <si>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</si>
  <si>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</si>
  <si>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</si>
  <si>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</si>
  <si>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</si>
  <si>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</si>
  <si>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</si>
  <si>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</si>
  <si>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</si>
  <si>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</si>
  <si>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</si>
  <si>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</si>
  <si>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</si>
  <si>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</si>
  <si>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</si>
  <si>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</si>
  <si>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</si>
  <si>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</si>
  <si>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</si>
  <si>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</si>
  <si>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</si>
  <si>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</si>
  <si>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</si>
  <si>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</si>
  <si>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</si>
  <si>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</si>
  <si>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</si>
  <si>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</si>
  <si>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</si>
  <si>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</si>
  <si>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r>
      <rPr>
        <b/>
        <sz val="6"/>
        <color theme="1"/>
        <rFont val="Arial"/>
        <family val="2"/>
      </rPr>
      <t>Escuela Tecnológica Instituto Técnico Central</t>
    </r>
    <r>
      <rPr>
        <b/>
        <sz val="5"/>
        <color theme="1"/>
        <rFont val="Arial"/>
        <family val="2"/>
      </rPr>
      <t xml:space="preserve">
Establecimiento Público de Educación Superior</t>
    </r>
  </si>
  <si>
    <t>CÓDIGO: GDC-FO-09</t>
  </si>
  <si>
    <t>VIGENCIA: 2024-08-22</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</si>
  <si>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</si>
  <si>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</si>
  <si>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</si>
  <si>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</si>
  <si>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</si>
  <si>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</si>
  <si>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</si>
  <si>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</si>
  <si>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</si>
  <si>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</si>
  <si>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</si>
  <si>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</si>
  <si>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</si>
  <si>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</si>
  <si>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</si>
  <si>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</si>
  <si>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(Y('Mapa final'!$L$22="Muy Alta",'Mapa final'!$P$22="Leve"),CONCATENAR("R",'Mapa final'!$A$22),"")</t>
  </si>
  <si>
    <t xml:space="preserve"> Matriz de Calor Residual</t>
  </si>
  <si>
    <t>FECHA</t>
  </si>
  <si>
    <t>DESCRIPCIÓN DE LA ACTUALIZACIÓN</t>
  </si>
  <si>
    <t>RESPONSABLE</t>
  </si>
  <si>
    <t>CARGO</t>
  </si>
  <si>
    <t xml:space="preserve">Se identificaron Contexto y Riesgos del Proceso de Egresados </t>
  </si>
  <si>
    <t>John Freddy Ortegate</t>
  </si>
  <si>
    <t>Líder de Proceso</t>
  </si>
  <si>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</si>
  <si>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</si>
  <si>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</si>
  <si>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</si>
  <si>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</si>
  <si>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</si>
  <si>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</si>
  <si>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</si>
  <si>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</si>
  <si>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</si>
  <si>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</si>
  <si>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</si>
  <si>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</si>
  <si>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</si>
  <si>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</si>
  <si>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</si>
  <si>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</si>
  <si>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</si>
  <si>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</si>
  <si>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</si>
  <si>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</si>
  <si>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</si>
  <si>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</si>
  <si>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</si>
  <si>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</si>
  <si>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</si>
  <si>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</si>
  <si>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</si>
  <si>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</si>
  <si>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</si>
  <si>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</si>
  <si>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</si>
  <si>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</si>
  <si>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</si>
  <si>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</si>
  <si>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</si>
  <si>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</si>
  <si>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</si>
  <si>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</si>
  <si>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</si>
  <si>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</si>
  <si>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</si>
  <si>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</si>
  <si>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</si>
  <si>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</si>
  <si>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</si>
  <si>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</si>
  <si>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</si>
  <si>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</si>
  <si>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</si>
  <si>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</si>
  <si>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</si>
  <si>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 xml:space="preserve">Tipo </t>
  </si>
  <si>
    <t>Software</t>
  </si>
  <si>
    <t>Documental</t>
  </si>
  <si>
    <t>SST</t>
  </si>
  <si>
    <t>VERSIÓN</t>
  </si>
  <si>
    <t>CAMBIOS</t>
  </si>
  <si>
    <t xml:space="preserve">Se incluye protada, control de cambios del registro, riesgos fiscales </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</si>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</sst>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4">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sz val="10"/>
      <color theme="1"/>
      <name val="Arial Narrow"/>
      <family val="2"/>
    </font>
    <font>
      <u/>
      <sz val="11"/>
      <color theme="10"/>
      <name val="Calibri"/>
      <family val="2"/>
      <scheme val="minor"/>
    </font>
    <font>
      <b/>
      <sz val="14"/>
      <color rgb="FF000000"/>
      <name val="Arial"/>
    </font>
    <font>
      <sz val="14"/>
      <color rgb="FF000000"/>
      <name val="Arial"/>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6">
    <xf numFmtId="0" fontId="0" fillId="0" borderId="0"/>
    <xf numFmtId="9" fontId="12" fillId="0" borderId="0" applyFont="0" applyFill="0" applyBorder="0" applyAlignment="0" applyProtection="0"/>
    <xf numFmtId="0" fontId="44" fillId="0" borderId="0"/>
    <xf numFmtId="0" fontId="45" fillId="0" borderId="0"/>
    <xf numFmtId="0" fontId="4" fillId="0" borderId="0"/>
    <xf numFmtId="0" fontId="101" fillId="0" borderId="0" applyNumberFormat="0" applyFill="0" applyBorder="0" applyAlignment="0" applyProtection="0"/>
  </cellStyleXfs>
  <cellXfs count="655">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1" fillId="0" borderId="0" xfId="0" applyFont="1" applyAlignment="1">
      <alignment vertical="center"/>
    </xf>
    <xf numFmtId="0" fontId="84"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4" fillId="3" borderId="0" xfId="0" applyFont="1" applyFill="1"/>
    <xf numFmtId="0" fontId="85"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2" fillId="18" borderId="0" xfId="0" applyFont="1" applyFill="1" applyAlignment="1">
      <alignment horizontal="center" vertical="center"/>
    </xf>
    <xf numFmtId="0" fontId="71" fillId="19" borderId="0" xfId="0" applyFont="1" applyFill="1" applyAlignment="1">
      <alignment horizontal="center" vertical="center"/>
    </xf>
    <xf numFmtId="0" fontId="83" fillId="0" borderId="0" xfId="0" applyFont="1" applyAlignment="1">
      <alignment horizontal="center"/>
    </xf>
    <xf numFmtId="0" fontId="83"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8"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8"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8"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8" fillId="23" borderId="22" xfId="0" applyFont="1" applyFill="1" applyBorder="1" applyAlignment="1" applyProtection="1">
      <alignment horizontal="justify" vertical="justify" wrapText="1"/>
      <protection locked="0"/>
    </xf>
    <xf numFmtId="0" fontId="89" fillId="21" borderId="21" xfId="0" applyFont="1" applyFill="1" applyBorder="1" applyAlignment="1" applyProtection="1">
      <alignment horizontal="center" vertical="center"/>
      <protection locked="0"/>
    </xf>
    <xf numFmtId="0" fontId="88" fillId="24" borderId="21" xfId="0" applyFont="1" applyFill="1" applyBorder="1" applyAlignment="1" applyProtection="1">
      <alignment horizontal="justify" vertical="justify" wrapText="1"/>
      <protection locked="0"/>
    </xf>
    <xf numFmtId="0" fontId="88"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1" fillId="0" borderId="57" xfId="0" applyFont="1" applyBorder="1" applyAlignment="1" applyProtection="1">
      <alignment horizontal="center" vertical="center"/>
      <protection locked="0"/>
    </xf>
    <xf numFmtId="0" fontId="66" fillId="3" borderId="0" xfId="0" applyFont="1" applyFill="1"/>
    <xf numFmtId="0" fontId="93" fillId="3" borderId="0" xfId="0" applyFont="1" applyFill="1"/>
    <xf numFmtId="0" fontId="86" fillId="3" borderId="68" xfId="0" applyFont="1" applyFill="1" applyBorder="1" applyAlignment="1">
      <alignment horizontal="center" vertical="center"/>
    </xf>
    <xf numFmtId="0" fontId="86" fillId="3" borderId="69" xfId="0" applyFont="1" applyFill="1" applyBorder="1" applyAlignment="1">
      <alignment horizontal="center" vertical="center"/>
    </xf>
    <xf numFmtId="0" fontId="86" fillId="3" borderId="67" xfId="0" applyFont="1" applyFill="1" applyBorder="1" applyAlignment="1">
      <alignment horizontal="center" vertical="center"/>
    </xf>
    <xf numFmtId="0" fontId="86" fillId="3" borderId="57" xfId="0" applyFont="1" applyFill="1" applyBorder="1" applyAlignment="1">
      <alignment horizontal="center" vertical="center"/>
    </xf>
    <xf numFmtId="0" fontId="86" fillId="3" borderId="40" xfId="0" applyFont="1" applyFill="1" applyBorder="1" applyAlignment="1">
      <alignment vertical="center"/>
    </xf>
    <xf numFmtId="0" fontId="87" fillId="16" borderId="21" xfId="0" applyFont="1" applyFill="1" applyBorder="1" applyAlignment="1">
      <alignment horizontal="center" vertical="center"/>
    </xf>
    <xf numFmtId="0" fontId="87"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7"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6" fillId="16" borderId="21" xfId="0" applyFont="1" applyFill="1" applyBorder="1" applyAlignment="1">
      <alignment horizontal="center" vertical="center" wrapText="1"/>
    </xf>
    <xf numFmtId="0" fontId="66" fillId="0" borderId="21" xfId="0" applyFont="1" applyBorder="1" applyAlignment="1">
      <alignment vertical="center" wrapText="1"/>
    </xf>
    <xf numFmtId="0" fontId="66" fillId="0" borderId="21" xfId="0" applyFont="1" applyBorder="1" applyAlignment="1" applyProtection="1">
      <alignment vertical="center" wrapText="1"/>
      <protection locked="0"/>
    </xf>
    <xf numFmtId="164" fontId="98" fillId="0" borderId="21" xfId="1" applyNumberFormat="1" applyFont="1" applyBorder="1" applyAlignment="1">
      <alignment horizontal="center" vertical="center"/>
    </xf>
    <xf numFmtId="9" fontId="98" fillId="0" borderId="21" xfId="1" applyFont="1" applyBorder="1" applyAlignment="1">
      <alignment horizontal="center" vertical="center" wrapText="1"/>
    </xf>
    <xf numFmtId="0" fontId="66" fillId="0" borderId="110" xfId="0" applyFont="1" applyBorder="1" applyAlignment="1" applyProtection="1">
      <alignment horizontal="center" vertical="center" wrapText="1"/>
      <protection locked="0"/>
    </xf>
    <xf numFmtId="9" fontId="66" fillId="0" borderId="11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14" fontId="66" fillId="0" borderId="110" xfId="0" applyNumberFormat="1" applyFont="1" applyBorder="1" applyAlignment="1" applyProtection="1">
      <alignment horizontal="center" vertical="center" wrapText="1"/>
      <protection locked="0"/>
    </xf>
    <xf numFmtId="0" fontId="98" fillId="0" borderId="110" xfId="0" applyFont="1" applyBorder="1" applyAlignment="1" applyProtection="1">
      <alignment vertical="center" wrapText="1"/>
      <protection locked="0"/>
    </xf>
    <xf numFmtId="0" fontId="98" fillId="0" borderId="110" xfId="0" applyFont="1" applyBorder="1" applyAlignment="1" applyProtection="1">
      <alignment vertical="center"/>
      <protection locked="0"/>
    </xf>
    <xf numFmtId="14" fontId="66" fillId="0" borderId="110" xfId="0" applyNumberFormat="1" applyFont="1" applyBorder="1" applyAlignment="1" applyProtection="1">
      <alignment vertical="center" wrapText="1"/>
      <protection locked="0"/>
    </xf>
    <xf numFmtId="0" fontId="66" fillId="0" borderId="110" xfId="0" applyFont="1" applyBorder="1" applyAlignment="1" applyProtection="1">
      <alignment horizontal="center" vertical="center" wrapText="1"/>
      <protection hidden="1"/>
    </xf>
    <xf numFmtId="0" fontId="66" fillId="0" borderId="110" xfId="0" applyFont="1" applyBorder="1" applyAlignment="1" applyProtection="1">
      <alignment horizontal="center" vertical="center" textRotation="90" wrapText="1"/>
      <protection locked="0"/>
    </xf>
    <xf numFmtId="164" fontId="66" fillId="0" borderId="110" xfId="1" applyNumberFormat="1" applyFont="1" applyBorder="1" applyAlignment="1">
      <alignment horizontal="center" vertical="top" wrapText="1"/>
    </xf>
    <xf numFmtId="0" fontId="77" fillId="0" borderId="110" xfId="0" applyFont="1" applyBorder="1" applyAlignment="1" applyProtection="1">
      <alignment horizontal="center" vertical="center" textRotation="90" wrapText="1"/>
      <protection hidden="1"/>
    </xf>
    <xf numFmtId="0" fontId="98" fillId="0" borderId="21" xfId="0" applyFont="1" applyBorder="1" applyAlignment="1" applyProtection="1">
      <alignment vertical="center" wrapText="1"/>
      <protection locked="0"/>
    </xf>
    <xf numFmtId="0" fontId="98" fillId="0" borderId="21" xfId="0" applyFont="1" applyBorder="1" applyAlignment="1" applyProtection="1">
      <alignment vertical="center"/>
      <protection locked="0"/>
    </xf>
    <xf numFmtId="14" fontId="66" fillId="0" borderId="21" xfId="0" applyNumberFormat="1" applyFont="1" applyBorder="1" applyAlignment="1" applyProtection="1">
      <alignment vertical="center" wrapText="1"/>
      <protection locked="0"/>
    </xf>
    <xf numFmtId="0" fontId="98"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98" fillId="0" borderId="21" xfId="0" applyFont="1" applyBorder="1" applyAlignment="1" applyProtection="1">
      <alignment horizontal="left" vertical="top"/>
      <protection locked="0"/>
    </xf>
    <xf numFmtId="0" fontId="98" fillId="0" borderId="21" xfId="0" applyFont="1" applyBorder="1" applyAlignment="1">
      <alignment horizontal="left" vertical="top"/>
    </xf>
    <xf numFmtId="0" fontId="46" fillId="3" borderId="21" xfId="0" applyFont="1" applyFill="1" applyBorder="1" applyAlignment="1" applyProtection="1">
      <alignment horizontal="left" vertical="top" wrapText="1"/>
      <protection locked="0"/>
    </xf>
    <xf numFmtId="0" fontId="100" fillId="0" borderId="21" xfId="0" quotePrefix="1" applyFont="1" applyBorder="1" applyAlignment="1" applyProtection="1">
      <alignment horizontal="left" vertical="top" wrapText="1"/>
      <protection locked="0"/>
    </xf>
    <xf numFmtId="0" fontId="46" fillId="0" borderId="21" xfId="0" applyFont="1" applyBorder="1" applyAlignment="1" applyProtection="1">
      <alignment horizontal="left" vertical="top" wrapText="1"/>
      <protection locked="0"/>
    </xf>
    <xf numFmtId="0" fontId="100" fillId="0" borderId="21" xfId="0" applyFont="1" applyBorder="1" applyAlignment="1" applyProtection="1">
      <alignment horizontal="left" vertical="top" wrapText="1"/>
      <protection locked="0"/>
    </xf>
    <xf numFmtId="0" fontId="98" fillId="0" borderId="21" xfId="0" applyFont="1" applyBorder="1" applyAlignment="1" applyProtection="1">
      <alignment vertical="top" wrapText="1"/>
      <protection locked="0"/>
    </xf>
    <xf numFmtId="0" fontId="1" fillId="0" borderId="21" xfId="0" applyFont="1" applyBorder="1" applyAlignment="1" applyProtection="1">
      <alignment vertical="top" wrapText="1"/>
      <protection locked="0"/>
    </xf>
    <xf numFmtId="0" fontId="98" fillId="0" borderId="21" xfId="0" applyFont="1" applyBorder="1" applyAlignment="1" applyProtection="1">
      <alignment vertical="top"/>
      <protection locked="0"/>
    </xf>
    <xf numFmtId="0" fontId="66" fillId="0" borderId="65" xfId="0" applyFont="1" applyBorder="1" applyAlignment="1">
      <alignment horizontal="center" vertical="center"/>
    </xf>
    <xf numFmtId="0" fontId="96" fillId="19" borderId="68" xfId="0" applyFont="1" applyFill="1" applyBorder="1" applyAlignment="1">
      <alignment horizontal="center" vertical="center" wrapText="1"/>
    </xf>
    <xf numFmtId="0" fontId="66" fillId="0" borderId="0" xfId="0" applyFont="1" applyAlignment="1">
      <alignment horizontal="left" vertical="center" wrapText="1"/>
    </xf>
    <xf numFmtId="0" fontId="66" fillId="0" borderId="110" xfId="0" applyFont="1" applyBorder="1" applyAlignment="1">
      <alignment vertical="center" wrapText="1"/>
    </xf>
    <xf numFmtId="0" fontId="66" fillId="0" borderId="110" xfId="0" applyFont="1" applyBorder="1" applyAlignment="1">
      <alignment horizontal="center" vertical="center" wrapText="1"/>
    </xf>
    <xf numFmtId="0" fontId="101" fillId="3" borderId="0" xfId="5" applyFill="1"/>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63"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9" fontId="66" fillId="0" borderId="110" xfId="0" applyNumberFormat="1" applyFont="1" applyBorder="1" applyAlignment="1" applyProtection="1">
      <alignment horizontal="center" vertical="center" wrapText="1"/>
      <protection locked="0"/>
    </xf>
    <xf numFmtId="9" fontId="66" fillId="0" borderId="22" xfId="0" applyNumberFormat="1" applyFont="1" applyBorder="1" applyAlignment="1" applyProtection="1">
      <alignment horizontal="center" vertical="center" wrapText="1"/>
      <protection locked="0"/>
    </xf>
    <xf numFmtId="9" fontId="66" fillId="0" borderId="110" xfId="0" applyNumberFormat="1" applyFont="1" applyBorder="1" applyAlignment="1" applyProtection="1">
      <alignment horizontal="center" vertical="center" wrapText="1"/>
      <protection hidden="1"/>
    </xf>
    <xf numFmtId="9" fontId="66" fillId="0" borderId="22" xfId="0" applyNumberFormat="1" applyFont="1" applyBorder="1" applyAlignment="1" applyProtection="1">
      <alignment horizontal="center" vertical="center" wrapText="1"/>
      <protection hidden="1"/>
    </xf>
    <xf numFmtId="0" fontId="3" fillId="0" borderId="110"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77" fillId="0" borderId="110" xfId="0" applyFont="1" applyBorder="1" applyAlignment="1" applyProtection="1">
      <alignment horizontal="center" vertical="center" wrapText="1"/>
      <protection hidden="1"/>
    </xf>
    <xf numFmtId="0" fontId="77" fillId="0" borderId="22" xfId="0" applyFont="1" applyBorder="1" applyAlignment="1" applyProtection="1">
      <alignment horizontal="center" vertical="center" wrapText="1"/>
      <protection hidden="1"/>
    </xf>
    <xf numFmtId="0" fontId="66" fillId="0" borderId="110" xfId="0" applyFont="1" applyBorder="1" applyAlignment="1" applyProtection="1">
      <alignment horizontal="center" vertical="center" wrapText="1"/>
      <protection locked="0"/>
    </xf>
    <xf numFmtId="0" fontId="66" fillId="0" borderId="22" xfId="0" applyFont="1" applyBorder="1" applyAlignment="1" applyProtection="1">
      <alignment horizontal="center" vertical="center" wrapText="1"/>
      <protection locked="0"/>
    </xf>
    <xf numFmtId="0" fontId="66" fillId="0" borderId="110" xfId="0" applyFont="1" applyBorder="1" applyAlignment="1" applyProtection="1">
      <alignment horizontal="center" vertical="center"/>
      <protection locked="0"/>
    </xf>
    <xf numFmtId="0" fontId="66" fillId="0" borderId="22" xfId="0" applyFont="1" applyBorder="1" applyAlignment="1" applyProtection="1">
      <alignment horizontal="center" vertical="center"/>
      <protection locked="0"/>
    </xf>
    <xf numFmtId="0" fontId="98" fillId="0" borderId="110" xfId="0" applyFont="1" applyBorder="1" applyAlignment="1" applyProtection="1">
      <alignment horizontal="center" vertical="center"/>
      <protection locked="0"/>
    </xf>
    <xf numFmtId="0" fontId="98" fillId="0" borderId="22" xfId="0" applyFont="1" applyBorder="1" applyAlignment="1" applyProtection="1">
      <alignment horizontal="center" vertical="center"/>
      <protection locked="0"/>
    </xf>
    <xf numFmtId="0" fontId="86" fillId="16" borderId="68" xfId="0" applyFont="1" applyFill="1" applyBorder="1" applyAlignment="1">
      <alignment horizontal="left" vertical="center"/>
    </xf>
    <xf numFmtId="0" fontId="86" fillId="16" borderId="67" xfId="0" applyFont="1" applyFill="1" applyBorder="1" applyAlignment="1">
      <alignment horizontal="left" vertical="center"/>
    </xf>
    <xf numFmtId="0" fontId="86" fillId="16" borderId="69" xfId="0" applyFont="1" applyFill="1" applyBorder="1" applyAlignment="1">
      <alignment horizontal="left" vertical="center"/>
    </xf>
    <xf numFmtId="0" fontId="98" fillId="0" borderId="110" xfId="0" applyFont="1" applyBorder="1" applyAlignment="1" applyProtection="1">
      <alignment horizontal="center" vertical="center" wrapText="1"/>
      <protection locked="0"/>
    </xf>
    <xf numFmtId="0" fontId="98" fillId="0" borderId="22" xfId="0" applyFont="1" applyBorder="1" applyAlignment="1" applyProtection="1">
      <alignment horizontal="center" vertical="center" wrapText="1"/>
      <protection locked="0"/>
    </xf>
    <xf numFmtId="0" fontId="1" fillId="0" borderId="110"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87" fillId="16" borderId="110" xfId="0" applyFont="1" applyFill="1" applyBorder="1" applyAlignment="1">
      <alignment horizontal="center" vertical="center" wrapText="1"/>
    </xf>
    <xf numFmtId="0" fontId="87" fillId="16" borderId="22" xfId="0" applyFont="1" applyFill="1" applyBorder="1" applyAlignment="1">
      <alignment horizontal="center" vertical="center" wrapText="1"/>
    </xf>
    <xf numFmtId="0" fontId="87" fillId="16" borderId="21" xfId="0" applyFont="1" applyFill="1" applyBorder="1" applyAlignment="1">
      <alignment horizontal="center" vertical="center" wrapText="1"/>
    </xf>
    <xf numFmtId="0" fontId="87" fillId="16" borderId="21" xfId="0" applyFont="1" applyFill="1" applyBorder="1" applyAlignment="1">
      <alignment horizontal="center" vertical="center"/>
    </xf>
    <xf numFmtId="0" fontId="87" fillId="16" borderId="110" xfId="0" applyFont="1" applyFill="1" applyBorder="1" applyAlignment="1">
      <alignment horizontal="center" vertical="center"/>
    </xf>
    <xf numFmtId="0" fontId="87" fillId="16" borderId="22" xfId="0" applyFont="1" applyFill="1" applyBorder="1" applyAlignment="1">
      <alignment horizontal="center" vertical="center"/>
    </xf>
    <xf numFmtId="0" fontId="66" fillId="0" borderId="110" xfId="0" applyFont="1" applyBorder="1" applyAlignment="1">
      <alignment horizontal="center" vertical="center" wrapText="1"/>
    </xf>
    <xf numFmtId="0" fontId="66" fillId="0" borderId="22" xfId="0" applyFont="1" applyBorder="1" applyAlignment="1">
      <alignment horizontal="center" vertical="center" wrapText="1"/>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68" xfId="0" applyFont="1" applyBorder="1" applyAlignment="1">
      <alignment horizontal="left" vertical="center"/>
    </xf>
    <xf numFmtId="0" fontId="92" fillId="0" borderId="67" xfId="0" applyFont="1" applyBorder="1" applyAlignment="1">
      <alignment horizontal="left" vertical="center"/>
    </xf>
    <xf numFmtId="0" fontId="92" fillId="0" borderId="69" xfId="0" applyFont="1" applyBorder="1" applyAlignment="1">
      <alignment horizontal="left" vertical="center"/>
    </xf>
    <xf numFmtId="0" fontId="87" fillId="16" borderId="21" xfId="0" applyFont="1" applyFill="1" applyBorder="1" applyAlignment="1">
      <alignment horizontal="center" vertical="center" textRotation="90" wrapText="1"/>
    </xf>
    <xf numFmtId="0" fontId="87" fillId="16" borderId="21" xfId="0" applyFont="1" applyFill="1" applyBorder="1" applyAlignment="1">
      <alignment horizontal="center" vertical="center" textRotation="90"/>
    </xf>
    <xf numFmtId="0" fontId="87" fillId="16" borderId="68" xfId="0" applyFont="1" applyFill="1" applyBorder="1" applyAlignment="1">
      <alignment horizontal="center" vertical="center"/>
    </xf>
    <xf numFmtId="0" fontId="87" fillId="16" borderId="67" xfId="0" applyFont="1" applyFill="1" applyBorder="1" applyAlignment="1">
      <alignment horizontal="center" vertical="center"/>
    </xf>
    <xf numFmtId="0" fontId="87" fillId="16" borderId="110" xfId="0" applyFont="1" applyFill="1" applyBorder="1" applyAlignment="1">
      <alignment horizontal="center" vertical="center" textRotation="90"/>
    </xf>
    <xf numFmtId="0" fontId="87" fillId="16" borderId="111" xfId="0" applyFont="1" applyFill="1" applyBorder="1" applyAlignment="1">
      <alignment horizontal="center" vertical="center" textRotation="90"/>
    </xf>
    <xf numFmtId="0" fontId="87" fillId="16" borderId="22" xfId="0" applyFont="1" applyFill="1" applyBorder="1" applyAlignment="1">
      <alignment horizontal="center" vertical="center" textRotation="90"/>
    </xf>
    <xf numFmtId="0" fontId="55" fillId="0" borderId="67"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7" fillId="16" borderId="108" xfId="0" applyFont="1" applyFill="1" applyBorder="1" applyAlignment="1">
      <alignment horizontal="center" vertical="center" wrapText="1"/>
    </xf>
    <xf numFmtId="0" fontId="87" fillId="16" borderId="63" xfId="0" applyFont="1" applyFill="1" applyBorder="1" applyAlignment="1">
      <alignment horizontal="center" vertical="center" wrapText="1"/>
    </xf>
    <xf numFmtId="0" fontId="87" fillId="19" borderId="21" xfId="0" applyFont="1" applyFill="1" applyBorder="1" applyAlignment="1">
      <alignment horizontal="center" vertical="center" wrapText="1"/>
    </xf>
    <xf numFmtId="0" fontId="87" fillId="18" borderId="107" xfId="0" applyFont="1" applyFill="1" applyBorder="1" applyAlignment="1">
      <alignment horizontal="center" vertical="center" wrapText="1"/>
    </xf>
    <xf numFmtId="0" fontId="87" fillId="18" borderId="64" xfId="0" applyFont="1" applyFill="1" applyBorder="1" applyAlignment="1">
      <alignment horizontal="center" vertical="center" wrapText="1"/>
    </xf>
    <xf numFmtId="0" fontId="87" fillId="16" borderId="40" xfId="0" applyFont="1" applyFill="1" applyBorder="1" applyAlignment="1">
      <alignment horizontal="center" vertical="center" wrapText="1"/>
    </xf>
    <xf numFmtId="0" fontId="87" fillId="16" borderId="57" xfId="0" applyFont="1" applyFill="1" applyBorder="1" applyAlignment="1">
      <alignment horizontal="center" vertical="center" wrapText="1"/>
    </xf>
    <xf numFmtId="0" fontId="91" fillId="0" borderId="5" xfId="0" applyFont="1" applyBorder="1" applyAlignment="1" applyProtection="1">
      <alignment horizontal="center" vertical="center"/>
      <protection locked="0"/>
    </xf>
    <xf numFmtId="0" fontId="91" fillId="0" borderId="12" xfId="0" applyFont="1" applyBorder="1" applyAlignment="1" applyProtection="1">
      <alignment horizontal="center" vertical="center"/>
      <protection locked="0"/>
    </xf>
    <xf numFmtId="0" fontId="91" fillId="0" borderId="6" xfId="0" applyFont="1" applyBorder="1" applyAlignment="1" applyProtection="1">
      <alignment horizontal="center" vertical="center"/>
      <protection locked="0"/>
    </xf>
    <xf numFmtId="0" fontId="91" fillId="0" borderId="7" xfId="0" applyFont="1" applyBorder="1" applyAlignment="1" applyProtection="1">
      <alignment horizontal="center" vertical="center"/>
      <protection locked="0"/>
    </xf>
    <xf numFmtId="0" fontId="91" fillId="0" borderId="0" xfId="0" applyFont="1" applyAlignment="1" applyProtection="1">
      <alignment horizontal="center" vertical="center"/>
      <protection locked="0"/>
    </xf>
    <xf numFmtId="0" fontId="91" fillId="0" borderId="8" xfId="0" applyFont="1" applyBorder="1" applyAlignment="1" applyProtection="1">
      <alignment horizontal="center" vertical="center"/>
      <protection locked="0"/>
    </xf>
    <xf numFmtId="0" fontId="91" fillId="0" borderId="9" xfId="0" applyFont="1" applyBorder="1" applyAlignment="1" applyProtection="1">
      <alignment horizontal="center" vertical="center"/>
      <protection locked="0"/>
    </xf>
    <xf numFmtId="0" fontId="91" fillId="0" borderId="11" xfId="0" applyFont="1" applyBorder="1" applyAlignment="1" applyProtection="1">
      <alignment horizontal="center" vertical="center"/>
      <protection locked="0"/>
    </xf>
    <xf numFmtId="0" fontId="91" fillId="0" borderId="10" xfId="0" applyFont="1" applyBorder="1" applyAlignment="1" applyProtection="1">
      <alignment horizontal="center" vertical="center"/>
      <protection locked="0"/>
    </xf>
    <xf numFmtId="0" fontId="77" fillId="0" borderId="0" xfId="0" applyFont="1" applyAlignment="1">
      <alignment horizontal="center" vertical="center"/>
    </xf>
    <xf numFmtId="0" fontId="77" fillId="0" borderId="76" xfId="0" applyFont="1" applyBorder="1" applyAlignment="1">
      <alignment horizontal="center" vertical="center"/>
    </xf>
    <xf numFmtId="0" fontId="92" fillId="0" borderId="68" xfId="0" applyFont="1" applyBorder="1" applyAlignment="1">
      <alignment horizontal="left" vertical="center" wrapText="1"/>
    </xf>
    <xf numFmtId="0" fontId="86" fillId="19" borderId="68" xfId="0" applyFont="1" applyFill="1" applyBorder="1" applyAlignment="1">
      <alignment horizontal="center" vertical="center"/>
    </xf>
    <xf numFmtId="0" fontId="86" fillId="19" borderId="67" xfId="0" applyFont="1" applyFill="1" applyBorder="1" applyAlignment="1">
      <alignment horizontal="center" vertical="center"/>
    </xf>
    <xf numFmtId="0" fontId="87" fillId="18" borderId="68" xfId="0" applyFont="1" applyFill="1" applyBorder="1" applyAlignment="1">
      <alignment horizontal="center" vertical="center" wrapText="1"/>
    </xf>
    <xf numFmtId="0" fontId="87" fillId="18" borderId="67" xfId="0" applyFont="1" applyFill="1" applyBorder="1" applyAlignment="1">
      <alignment horizontal="center" vertical="center" wrapText="1"/>
    </xf>
    <xf numFmtId="0" fontId="87" fillId="18" borderId="69" xfId="0" applyFont="1" applyFill="1" applyBorder="1" applyAlignment="1">
      <alignment horizontal="center" vertical="center" wrapText="1"/>
    </xf>
    <xf numFmtId="0" fontId="87" fillId="19" borderId="68" xfId="0" applyFont="1" applyFill="1" applyBorder="1" applyAlignment="1">
      <alignment horizontal="center" vertical="center" wrapText="1"/>
    </xf>
    <xf numFmtId="0" fontId="87" fillId="19" borderId="67" xfId="0" applyFont="1" applyFill="1" applyBorder="1" applyAlignment="1">
      <alignment horizontal="center" vertical="center" wrapText="1"/>
    </xf>
    <xf numFmtId="0" fontId="87" fillId="19" borderId="69" xfId="0" applyFont="1" applyFill="1" applyBorder="1" applyAlignment="1">
      <alignment horizontal="center" vertical="center" wrapText="1"/>
    </xf>
    <xf numFmtId="0" fontId="96" fillId="19" borderId="68" xfId="0" applyFont="1" applyFill="1" applyBorder="1" applyAlignment="1">
      <alignment horizontal="center" vertical="center" wrapText="1"/>
    </xf>
    <xf numFmtId="0" fontId="96" fillId="19" borderId="69"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7" fillId="19" borderId="68" xfId="0" applyFont="1" applyFill="1" applyBorder="1" applyAlignment="1">
      <alignment horizontal="center" vertical="center" wrapText="1"/>
    </xf>
    <xf numFmtId="0" fontId="97" fillId="19" borderId="69" xfId="0" applyFont="1" applyFill="1" applyBorder="1" applyAlignment="1">
      <alignment horizontal="center" vertical="center" wrapText="1"/>
    </xf>
    <xf numFmtId="0" fontId="59" fillId="0" borderId="70" xfId="0" applyFont="1" applyBorder="1" applyAlignment="1">
      <alignment horizontal="center" vertical="center" wrapText="1"/>
    </xf>
    <xf numFmtId="0" fontId="95" fillId="0" borderId="68" xfId="0" applyFont="1" applyBorder="1" applyAlignment="1">
      <alignment horizontal="left" vertical="center" wrapText="1"/>
    </xf>
    <xf numFmtId="0" fontId="95" fillId="0" borderId="67" xfId="0" applyFont="1" applyBorder="1" applyAlignment="1">
      <alignment horizontal="left" vertical="center" wrapText="1"/>
    </xf>
    <xf numFmtId="0" fontId="95" fillId="0" borderId="69" xfId="0" applyFont="1" applyBorder="1" applyAlignment="1">
      <alignment horizontal="left" vertical="center" wrapText="1"/>
    </xf>
    <xf numFmtId="0" fontId="60" fillId="0" borderId="70" xfId="0" applyFont="1" applyBorder="1" applyAlignment="1">
      <alignment horizontal="center" vertical="center" wrapText="1"/>
    </xf>
    <xf numFmtId="0" fontId="94" fillId="0" borderId="21" xfId="0" applyFont="1" applyBorder="1" applyAlignment="1">
      <alignment horizontal="left" vertical="center" wrapText="1"/>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6"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5" fillId="0" borderId="12" xfId="0" applyFont="1" applyBorder="1" applyAlignment="1">
      <alignment horizontal="center" vertical="center" wrapText="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77" fillId="0" borderId="0" xfId="0" applyFont="1" applyAlignment="1">
      <alignment horizontal="center"/>
    </xf>
    <xf numFmtId="0" fontId="77" fillId="0" borderId="76" xfId="0" applyFont="1" applyBorder="1" applyAlignment="1">
      <alignment horizontal="center"/>
    </xf>
    <xf numFmtId="0" fontId="23" fillId="0" borderId="0" xfId="0" applyFont="1" applyAlignment="1">
      <alignment horizontal="center" vertical="center" wrapText="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103" fillId="0" borderId="21" xfId="0" applyFont="1" applyBorder="1" applyAlignment="1">
      <alignment horizontal="left" vertical="center" wrapText="1"/>
    </xf>
  </cellXfs>
  <cellStyles count="6">
    <cellStyle name="Hipervínculo" xfId="5" builtinId="8"/>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kawak" TargetMode="External"/><Relationship Id="rId7" Type="http://schemas.openxmlformats.org/officeDocument/2006/relationships/hyperlink" Target="#'CRITERIOS R CORRUPCION'!A1"/><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Matriz Calor Inherente'!A1"/><Relationship Id="rId5" Type="http://schemas.openxmlformats.org/officeDocument/2006/relationships/hyperlink" Target="#'Mapa final'!A1"/><Relationship Id="rId4" Type="http://schemas.openxmlformats.org/officeDocument/2006/relationships/hyperlink" Target="#'Matriz Calor Residual'!A1"/><Relationship Id="rId9"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1861" y="2121067"/>
          <a:ext cx="8502818" cy="3995988"/>
          <a:chOff x="238125" y="1188750"/>
          <a:chExt cx="7140450" cy="3335550"/>
        </a:xfrm>
      </xdr:grpSpPr>
      <xdr:sp macro="" textlink="">
        <xdr:nvSpPr>
          <xdr:cNvPr id="5" name="Google Shape;6041;p62">
            <a:hlinkClick xmlns:r="http://schemas.openxmlformats.org/officeDocument/2006/relationships" r:id="rId3" tooltip="https://kawak.com.co/itc/"/>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4"/>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5"/>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6"/>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7"/>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7</xdr:row>
      <xdr:rowOff>952499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ATOS\ETITC\2025\Riesgos%202025\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ay/Downloads/GSI-CA-FO-0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46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kawak.com.co/it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V38"/>
  <sheetViews>
    <sheetView showGridLines="0" tabSelected="1" zoomScale="95" zoomScaleNormal="95" workbookViewId="0">
      <selection activeCell="Q19" sqref="Q19"/>
    </sheetView>
  </sheetViews>
  <sheetFormatPr defaultColWidth="11.42578125" defaultRowHeight="1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22" ht="12.75" customHeight="1" thickBot="1">
      <c r="B1" s="69"/>
      <c r="C1" s="69"/>
      <c r="D1" s="69"/>
      <c r="E1" s="69"/>
      <c r="F1" s="69"/>
      <c r="G1" s="69"/>
      <c r="H1" s="69"/>
      <c r="I1" s="69"/>
      <c r="J1" s="69"/>
      <c r="K1" s="69"/>
      <c r="L1" s="69"/>
      <c r="M1" s="69"/>
      <c r="N1" s="69"/>
    </row>
    <row r="2" spans="2:22" ht="18.75" customHeight="1">
      <c r="B2" s="258" t="s">
        <v>0</v>
      </c>
      <c r="C2" s="259"/>
      <c r="D2" s="249" t="s">
        <v>1</v>
      </c>
      <c r="E2" s="250"/>
      <c r="F2" s="250"/>
      <c r="G2" s="250"/>
      <c r="H2" s="250"/>
      <c r="I2" s="250"/>
      <c r="J2" s="250"/>
      <c r="K2" s="250"/>
      <c r="L2" s="251"/>
      <c r="M2" s="264" t="s">
        <v>2</v>
      </c>
      <c r="N2" s="265"/>
      <c r="V2" s="247" t="s">
        <v>3</v>
      </c>
    </row>
    <row r="3" spans="2:22" ht="29.25" customHeight="1">
      <c r="B3" s="260"/>
      <c r="C3" s="261"/>
      <c r="D3" s="252"/>
      <c r="E3" s="253"/>
      <c r="F3" s="253"/>
      <c r="G3" s="253"/>
      <c r="H3" s="253"/>
      <c r="I3" s="253"/>
      <c r="J3" s="253"/>
      <c r="K3" s="253"/>
      <c r="L3" s="254"/>
      <c r="M3" s="266" t="s">
        <v>4</v>
      </c>
      <c r="N3" s="267"/>
    </row>
    <row r="4" spans="2:22" ht="29.25" customHeight="1">
      <c r="B4" s="260"/>
      <c r="C4" s="261"/>
      <c r="D4" s="252"/>
      <c r="E4" s="253"/>
      <c r="F4" s="253"/>
      <c r="G4" s="253"/>
      <c r="H4" s="253"/>
      <c r="I4" s="253"/>
      <c r="J4" s="253"/>
      <c r="K4" s="253"/>
      <c r="L4" s="254"/>
      <c r="M4" s="266" t="s">
        <v>5</v>
      </c>
      <c r="N4" s="267"/>
    </row>
    <row r="5" spans="2:22" ht="29.25" customHeight="1" thickBot="1">
      <c r="B5" s="262"/>
      <c r="C5" s="263"/>
      <c r="D5" s="255"/>
      <c r="E5" s="256"/>
      <c r="F5" s="256"/>
      <c r="G5" s="256"/>
      <c r="H5" s="256"/>
      <c r="I5" s="256"/>
      <c r="J5" s="256"/>
      <c r="K5" s="256"/>
      <c r="L5" s="257"/>
      <c r="M5" s="268" t="s">
        <v>6</v>
      </c>
      <c r="N5" s="269"/>
    </row>
    <row r="6" spans="2:22" ht="7.5" customHeight="1" thickBot="1"/>
    <row r="7" spans="2:22">
      <c r="B7" s="134"/>
      <c r="C7" s="135"/>
      <c r="D7" s="135"/>
      <c r="E7" s="135"/>
      <c r="F7" s="135"/>
      <c r="G7" s="135"/>
      <c r="H7" s="135"/>
      <c r="I7" s="135"/>
      <c r="J7" s="135"/>
      <c r="K7" s="135"/>
      <c r="L7" s="135"/>
      <c r="M7" s="135"/>
      <c r="N7" s="136"/>
    </row>
    <row r="8" spans="2:22">
      <c r="B8" s="137"/>
      <c r="N8" s="138"/>
    </row>
    <row r="9" spans="2:22">
      <c r="B9" s="137"/>
      <c r="N9" s="138"/>
    </row>
    <row r="10" spans="2:22">
      <c r="B10" s="137"/>
      <c r="N10" s="138"/>
    </row>
    <row r="11" spans="2:22">
      <c r="B11" s="137"/>
      <c r="N11" s="138"/>
    </row>
    <row r="12" spans="2:22">
      <c r="B12" s="137"/>
      <c r="N12" s="138"/>
    </row>
    <row r="13" spans="2:22">
      <c r="B13" s="137"/>
      <c r="N13" s="138"/>
    </row>
    <row r="14" spans="2:22">
      <c r="B14" s="137"/>
      <c r="N14" s="138"/>
    </row>
    <row r="15" spans="2:22">
      <c r="B15" s="137"/>
      <c r="N15" s="138"/>
    </row>
    <row r="16" spans="2:22" ht="21" customHeight="1">
      <c r="B16" s="137"/>
      <c r="N16" s="138"/>
    </row>
    <row r="17" spans="2:14" ht="18.75" customHeight="1">
      <c r="B17" s="137"/>
      <c r="N17" s="138"/>
    </row>
    <row r="18" spans="2:14" ht="17.25" customHeight="1">
      <c r="B18" s="137"/>
      <c r="N18" s="138"/>
    </row>
    <row r="19" spans="2:14" ht="18.75" customHeight="1">
      <c r="B19" s="137"/>
      <c r="N19" s="138"/>
    </row>
    <row r="20" spans="2:14" ht="21" customHeight="1">
      <c r="B20" s="137"/>
      <c r="N20" s="138"/>
    </row>
    <row r="21" spans="2:14">
      <c r="B21" s="137"/>
      <c r="N21" s="138"/>
    </row>
    <row r="22" spans="2:14">
      <c r="B22" s="137"/>
      <c r="N22" s="138"/>
    </row>
    <row r="23" spans="2:14">
      <c r="B23" s="137"/>
      <c r="N23" s="138"/>
    </row>
    <row r="24" spans="2:14">
      <c r="B24" s="137"/>
      <c r="N24" s="138"/>
    </row>
    <row r="25" spans="2:14">
      <c r="B25" s="137"/>
      <c r="N25" s="138"/>
    </row>
    <row r="26" spans="2:14">
      <c r="B26" s="137"/>
      <c r="N26" s="138"/>
    </row>
    <row r="27" spans="2:14">
      <c r="B27" s="137"/>
      <c r="N27" s="138"/>
    </row>
    <row r="28" spans="2:14">
      <c r="B28" s="137"/>
      <c r="N28" s="138"/>
    </row>
    <row r="29" spans="2:14">
      <c r="B29" s="137"/>
      <c r="N29" s="138"/>
    </row>
    <row r="30" spans="2:14">
      <c r="B30" s="137"/>
      <c r="N30" s="138"/>
    </row>
    <row r="31" spans="2:14">
      <c r="B31" s="137"/>
      <c r="D31" s="248" t="s">
        <v>7</v>
      </c>
      <c r="E31" s="248"/>
      <c r="N31" s="138"/>
    </row>
    <row r="32" spans="2:14">
      <c r="B32" s="137"/>
      <c r="D32" s="248"/>
      <c r="E32" s="248"/>
      <c r="N32" s="138"/>
    </row>
    <row r="33" spans="2:14">
      <c r="B33" s="137"/>
      <c r="N33" s="138"/>
    </row>
    <row r="34" spans="2:14">
      <c r="B34" s="137"/>
      <c r="N34" s="138"/>
    </row>
    <row r="35" spans="2:14">
      <c r="B35" s="137"/>
      <c r="N35" s="138"/>
    </row>
    <row r="36" spans="2:14">
      <c r="B36" s="137"/>
      <c r="N36" s="138"/>
    </row>
    <row r="37" spans="2:14">
      <c r="B37" s="137"/>
      <c r="N37" s="138"/>
    </row>
    <row r="38" spans="2:14" ht="15.75" thickBot="1">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hyperlinks>
    <hyperlink ref="V2" r:id="rId1" xr:uid="{596B849F-2E1C-4A0F-AB27-862F2AA6618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heetViews>
  <sheetFormatPr defaultColWidth="11.42578125" defaultRowHeight="1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row r="2" spans="1:8" ht="19.5" customHeight="1">
      <c r="B2" s="258" t="s">
        <v>8</v>
      </c>
      <c r="C2" s="284"/>
      <c r="D2" s="272" t="s">
        <v>9</v>
      </c>
      <c r="E2" s="291" t="s">
        <v>10</v>
      </c>
      <c r="F2" s="265"/>
    </row>
    <row r="3" spans="1:8" ht="19.5" customHeight="1">
      <c r="B3" s="260"/>
      <c r="C3" s="285"/>
      <c r="D3" s="273"/>
      <c r="E3" s="292" t="s">
        <v>4</v>
      </c>
      <c r="F3" s="267"/>
    </row>
    <row r="4" spans="1:8" ht="19.5" customHeight="1">
      <c r="B4" s="260"/>
      <c r="C4" s="285"/>
      <c r="D4" s="273"/>
      <c r="E4" s="292" t="s">
        <v>5</v>
      </c>
      <c r="F4" s="267"/>
    </row>
    <row r="5" spans="1:8" ht="19.5" customHeight="1" thickBot="1">
      <c r="A5" t="s">
        <v>11</v>
      </c>
      <c r="B5" s="262"/>
      <c r="C5" s="286"/>
      <c r="D5" s="274"/>
      <c r="E5" s="293" t="s">
        <v>6</v>
      </c>
      <c r="F5" s="269"/>
    </row>
    <row r="6" spans="1:8" ht="15.75" thickBot="1"/>
    <row r="7" spans="1:8">
      <c r="B7" s="275" t="s">
        <v>12</v>
      </c>
      <c r="C7" s="278" t="s">
        <v>13</v>
      </c>
      <c r="D7" s="279"/>
      <c r="E7" s="287" t="s">
        <v>14</v>
      </c>
      <c r="F7" s="288"/>
    </row>
    <row r="8" spans="1:8" ht="15.75" thickBot="1">
      <c r="B8" s="276"/>
      <c r="C8" s="280"/>
      <c r="D8" s="281"/>
      <c r="E8" s="289"/>
      <c r="F8" s="290"/>
      <c r="H8" s="156">
        <f>+COUNTA($E$10:$E$28)</f>
        <v>7</v>
      </c>
    </row>
    <row r="9" spans="1:8" ht="15.75" thickBot="1">
      <c r="B9" s="277"/>
      <c r="C9" s="282" t="s">
        <v>15</v>
      </c>
      <c r="D9" s="283"/>
      <c r="E9" s="153" t="s">
        <v>16</v>
      </c>
      <c r="F9" s="153" t="s">
        <v>17</v>
      </c>
      <c r="H9" s="156">
        <f>+COUNTA($F$10:$F$28)</f>
        <v>12</v>
      </c>
    </row>
    <row r="10" spans="1:8" ht="15.75" thickBot="1">
      <c r="B10" s="152">
        <v>1</v>
      </c>
      <c r="C10" s="270" t="s">
        <v>18</v>
      </c>
      <c r="D10" s="271"/>
      <c r="E10" s="148" t="s">
        <v>19</v>
      </c>
      <c r="F10" s="149"/>
      <c r="H10" s="156">
        <f>+COUNTA($E$10:$E$28)-COUNTA(F10:F28)</f>
        <v>-5</v>
      </c>
    </row>
    <row r="11" spans="1:8" ht="15.75" thickBot="1">
      <c r="B11" s="152">
        <v>2</v>
      </c>
      <c r="C11" s="270" t="s">
        <v>20</v>
      </c>
      <c r="D11" s="271" t="s">
        <v>20</v>
      </c>
      <c r="E11" s="148" t="s">
        <v>19</v>
      </c>
      <c r="F11" s="149"/>
      <c r="H11" s="157"/>
    </row>
    <row r="12" spans="1:8" ht="15.75" thickBot="1">
      <c r="B12" s="152">
        <v>3</v>
      </c>
      <c r="C12" s="270" t="s">
        <v>21</v>
      </c>
      <c r="D12" s="271" t="s">
        <v>21</v>
      </c>
      <c r="E12" s="148" t="s">
        <v>19</v>
      </c>
      <c r="F12" s="149"/>
    </row>
    <row r="13" spans="1:8" ht="15.75" thickBot="1">
      <c r="B13" s="152">
        <v>4</v>
      </c>
      <c r="C13" s="270" t="s">
        <v>22</v>
      </c>
      <c r="D13" s="271" t="s">
        <v>23</v>
      </c>
      <c r="E13" s="148" t="s">
        <v>19</v>
      </c>
      <c r="F13" s="149"/>
    </row>
    <row r="14" spans="1:8" ht="15.75" thickBot="1">
      <c r="B14" s="152">
        <v>5</v>
      </c>
      <c r="C14" s="270" t="s">
        <v>24</v>
      </c>
      <c r="D14" s="271" t="s">
        <v>24</v>
      </c>
      <c r="E14" s="148" t="s">
        <v>19</v>
      </c>
      <c r="F14" s="149"/>
    </row>
    <row r="15" spans="1:8" ht="15.75" thickBot="1">
      <c r="B15" s="152">
        <v>6</v>
      </c>
      <c r="C15" s="270" t="s">
        <v>25</v>
      </c>
      <c r="D15" s="271" t="s">
        <v>25</v>
      </c>
      <c r="E15" s="148"/>
      <c r="F15" s="149" t="s">
        <v>19</v>
      </c>
    </row>
    <row r="16" spans="1:8" ht="15.75" thickBot="1">
      <c r="B16" s="152">
        <v>7</v>
      </c>
      <c r="C16" s="270" t="s">
        <v>26</v>
      </c>
      <c r="D16" s="271" t="s">
        <v>26</v>
      </c>
      <c r="E16" s="148" t="s">
        <v>19</v>
      </c>
      <c r="F16" s="149"/>
    </row>
    <row r="17" spans="2:7" ht="28.5" customHeight="1" thickBot="1">
      <c r="B17" s="152">
        <v>8</v>
      </c>
      <c r="C17" s="270" t="s">
        <v>27</v>
      </c>
      <c r="D17" s="271" t="s">
        <v>27</v>
      </c>
      <c r="E17" s="148"/>
      <c r="F17" s="149" t="s">
        <v>19</v>
      </c>
    </row>
    <row r="18" spans="2:7" ht="18.75" customHeight="1" thickBot="1">
      <c r="B18" s="152">
        <v>9</v>
      </c>
      <c r="C18" s="270" t="s">
        <v>28</v>
      </c>
      <c r="D18" s="271" t="s">
        <v>28</v>
      </c>
      <c r="E18" s="148"/>
      <c r="F18" s="149" t="s">
        <v>19</v>
      </c>
    </row>
    <row r="19" spans="2:7" ht="15.75" thickBot="1">
      <c r="B19" s="152">
        <v>10</v>
      </c>
      <c r="C19" s="270" t="s">
        <v>29</v>
      </c>
      <c r="D19" s="271" t="s">
        <v>29</v>
      </c>
      <c r="E19" s="148"/>
      <c r="F19" s="149" t="s">
        <v>19</v>
      </c>
    </row>
    <row r="20" spans="2:7" ht="15.75" thickBot="1">
      <c r="B20" s="152">
        <v>11</v>
      </c>
      <c r="C20" s="270" t="s">
        <v>30</v>
      </c>
      <c r="D20" s="271" t="s">
        <v>30</v>
      </c>
      <c r="E20" s="148"/>
      <c r="F20" s="149" t="s">
        <v>19</v>
      </c>
    </row>
    <row r="21" spans="2:7" ht="15.75" thickBot="1">
      <c r="B21" s="152">
        <v>12</v>
      </c>
      <c r="C21" s="270" t="s">
        <v>31</v>
      </c>
      <c r="D21" s="271" t="s">
        <v>31</v>
      </c>
      <c r="E21" s="148" t="s">
        <v>19</v>
      </c>
      <c r="F21" s="149"/>
    </row>
    <row r="22" spans="2:7" ht="15.75" thickBot="1">
      <c r="B22" s="152">
        <v>13</v>
      </c>
      <c r="C22" s="270" t="s">
        <v>32</v>
      </c>
      <c r="D22" s="271" t="s">
        <v>32</v>
      </c>
      <c r="E22" s="148"/>
      <c r="F22" s="149" t="s">
        <v>19</v>
      </c>
    </row>
    <row r="23" spans="2:7" ht="15.75" thickBot="1">
      <c r="B23" s="152">
        <v>14</v>
      </c>
      <c r="C23" s="270" t="s">
        <v>33</v>
      </c>
      <c r="D23" s="271" t="s">
        <v>33</v>
      </c>
      <c r="E23" s="148"/>
      <c r="F23" s="149" t="s">
        <v>19</v>
      </c>
    </row>
    <row r="24" spans="2:7" ht="15.75" thickBot="1">
      <c r="B24" s="152">
        <v>15</v>
      </c>
      <c r="C24" s="270" t="s">
        <v>34</v>
      </c>
      <c r="D24" s="271" t="s">
        <v>34</v>
      </c>
      <c r="E24" s="148"/>
      <c r="F24" s="149" t="s">
        <v>19</v>
      </c>
    </row>
    <row r="25" spans="2:7" ht="15.75" thickBot="1">
      <c r="B25" s="152">
        <v>16</v>
      </c>
      <c r="C25" s="270" t="s">
        <v>35</v>
      </c>
      <c r="D25" s="271" t="s">
        <v>35</v>
      </c>
      <c r="E25" s="148"/>
      <c r="F25" s="149" t="s">
        <v>19</v>
      </c>
    </row>
    <row r="26" spans="2:7" ht="15.75" thickBot="1">
      <c r="B26" s="152">
        <v>17</v>
      </c>
      <c r="C26" s="270" t="s">
        <v>36</v>
      </c>
      <c r="D26" s="271" t="s">
        <v>36</v>
      </c>
      <c r="E26" s="148"/>
      <c r="F26" s="149" t="s">
        <v>19</v>
      </c>
    </row>
    <row r="27" spans="2:7" ht="15.75" thickBot="1">
      <c r="B27" s="152">
        <v>18</v>
      </c>
      <c r="C27" s="270" t="s">
        <v>37</v>
      </c>
      <c r="D27" s="271" t="s">
        <v>37</v>
      </c>
      <c r="E27" s="148"/>
      <c r="F27" s="149" t="s">
        <v>19</v>
      </c>
    </row>
    <row r="28" spans="2:7" ht="15.75" thickBot="1">
      <c r="B28" s="152">
        <v>19</v>
      </c>
      <c r="C28" s="270" t="s">
        <v>38</v>
      </c>
      <c r="D28" s="271" t="s">
        <v>38</v>
      </c>
      <c r="E28" s="148"/>
      <c r="F28" s="149" t="s">
        <v>19</v>
      </c>
    </row>
    <row r="29" spans="2:7">
      <c r="C29" s="147"/>
      <c r="D29" s="147"/>
      <c r="E29" s="155">
        <f>COUNTIF(E10:E28,"x")</f>
        <v>7</v>
      </c>
      <c r="F29" s="155">
        <f>COUNTIF(F10:F28,"x")</f>
        <v>12</v>
      </c>
      <c r="G29" s="154" t="str">
        <f>+IF(H10=0,"",IF(H10&gt;=12,"Catastrófico",IF(H10&gt;=6,"Mayor",IF(H10&lt;=5,"Moderado",""))))</f>
        <v>Moderado</v>
      </c>
    </row>
    <row r="30" spans="2:7">
      <c r="C30" s="145"/>
      <c r="D30" s="145"/>
      <c r="E30" s="145"/>
      <c r="F30" s="145"/>
    </row>
    <row r="31" spans="2:7">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26" priority="1" stopIfTrue="1" operator="equal">
      <formula>"Catastrófico"</formula>
    </cfRule>
    <cfRule type="cellIs" dxfId="25" priority="2" stopIfTrue="1" operator="equal">
      <formula>"Moderado"</formula>
    </cfRule>
    <cfRule type="cellIs" dxfId="24"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E29"/>
  <sheetViews>
    <sheetView showGridLines="0" topLeftCell="N1" zoomScale="70" zoomScaleNormal="70" workbookViewId="0">
      <selection activeCell="W37" sqref="W37"/>
    </sheetView>
  </sheetViews>
  <sheetFormatPr defaultColWidth="11.42578125" defaultRowHeight="14.25"/>
  <cols>
    <col min="1" max="1" width="11.42578125" style="179"/>
    <col min="2" max="2" width="3" style="179" customWidth="1"/>
    <col min="3" max="3" width="2.5703125" style="179" customWidth="1"/>
    <col min="4" max="4" width="4.7109375" style="180" customWidth="1"/>
    <col min="5" max="5" width="14.7109375" style="180" customWidth="1"/>
    <col min="6" max="8" width="12" style="180" customWidth="1"/>
    <col min="9" max="9" width="35.42578125" style="180" customWidth="1"/>
    <col min="10" max="10" width="23.42578125" style="180" customWidth="1"/>
    <col min="11" max="11" width="31" style="180" customWidth="1"/>
    <col min="12" max="12" width="16.28515625" style="180" hidden="1" customWidth="1"/>
    <col min="13" max="13" width="25.5703125" style="180" customWidth="1"/>
    <col min="14" max="14" width="32.42578125" style="179" customWidth="1"/>
    <col min="15" max="17" width="19" style="181" customWidth="1"/>
    <col min="18" max="18" width="17.7109375" style="179" customWidth="1"/>
    <col min="19" max="19" width="16.42578125" style="179" customWidth="1"/>
    <col min="20" max="20" width="6.28515625" style="179" bestFit="1" customWidth="1"/>
    <col min="21" max="21" width="27.28515625" style="179" bestFit="1" customWidth="1"/>
    <col min="22" max="22" width="18.140625" style="179" customWidth="1"/>
    <col min="23" max="23" width="17.42578125" style="179" customWidth="1"/>
    <col min="24" max="24" width="6.28515625" style="179" bestFit="1" customWidth="1"/>
    <col min="25" max="25" width="16" style="179" customWidth="1"/>
    <col min="26" max="26" width="5.7109375" style="179" customWidth="1"/>
    <col min="27" max="27" width="59.28515625" style="179" customWidth="1"/>
    <col min="28" max="28" width="69.5703125" style="179" customWidth="1"/>
    <col min="29" max="29" width="15.140625" style="179" bestFit="1" customWidth="1"/>
    <col min="30" max="30" width="6.7109375" style="179" customWidth="1"/>
    <col min="31" max="31" width="5" style="179" customWidth="1"/>
    <col min="32" max="32" width="5.42578125" style="179" customWidth="1"/>
    <col min="33" max="33" width="7.140625" style="179" customWidth="1"/>
    <col min="34" max="34" width="6.7109375" style="179" customWidth="1"/>
    <col min="35" max="35" width="12.5703125" style="179" customWidth="1"/>
    <col min="36" max="36" width="29.42578125" style="179" customWidth="1"/>
    <col min="37" max="37" width="13.7109375" style="179" customWidth="1"/>
    <col min="38" max="38" width="8.7109375" style="179" customWidth="1"/>
    <col min="39" max="39" width="10.42578125" style="179" customWidth="1"/>
    <col min="40" max="40" width="9.28515625" style="179" customWidth="1"/>
    <col min="41" max="41" width="9.140625" style="179" customWidth="1"/>
    <col min="42" max="42" width="8.42578125" style="179" customWidth="1"/>
    <col min="43" max="43" width="7.28515625" style="179" customWidth="1"/>
    <col min="44" max="44" width="44.28515625" style="179" hidden="1" customWidth="1"/>
    <col min="45" max="45" width="33.85546875" style="179" customWidth="1"/>
    <col min="46" max="46" width="18.7109375" style="179" customWidth="1"/>
    <col min="47" max="47" width="16.7109375" style="179" customWidth="1"/>
    <col min="48" max="48" width="14.7109375" style="179" customWidth="1"/>
    <col min="49" max="49" width="18.42578125" style="179" customWidth="1"/>
    <col min="50" max="50" width="21" style="179" customWidth="1"/>
    <col min="51" max="51" width="14.140625" style="179" customWidth="1"/>
    <col min="52" max="52" width="17.7109375" style="179" customWidth="1"/>
    <col min="53" max="54" width="20.7109375" style="179" customWidth="1"/>
    <col min="55" max="55" width="15.42578125" style="179" customWidth="1"/>
    <col min="56" max="56" width="19.5703125" style="179" customWidth="1"/>
    <col min="57" max="57" width="17.28515625" style="179" customWidth="1"/>
    <col min="58" max="16384" width="11.42578125" style="179"/>
  </cols>
  <sheetData>
    <row r="1" spans="1:83" ht="15" thickBot="1"/>
    <row r="2" spans="1:83" ht="27.75" customHeight="1">
      <c r="D2" s="323" t="s">
        <v>39</v>
      </c>
      <c r="E2" s="324"/>
      <c r="F2" s="324"/>
      <c r="G2" s="324"/>
      <c r="H2" s="324"/>
      <c r="I2" s="349" t="s">
        <v>1</v>
      </c>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1"/>
      <c r="BD2" s="339" t="s">
        <v>10</v>
      </c>
      <c r="BE2" s="340"/>
    </row>
    <row r="3" spans="1:83" ht="27.75" customHeight="1">
      <c r="D3" s="325"/>
      <c r="E3" s="326"/>
      <c r="F3" s="326"/>
      <c r="G3" s="326"/>
      <c r="H3" s="326"/>
      <c r="I3" s="352"/>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c r="BD3" s="340" t="s">
        <v>40</v>
      </c>
      <c r="BE3" s="341"/>
    </row>
    <row r="4" spans="1:83" ht="27.75" customHeight="1">
      <c r="D4" s="325"/>
      <c r="E4" s="326"/>
      <c r="F4" s="326"/>
      <c r="G4" s="326"/>
      <c r="H4" s="326"/>
      <c r="I4" s="352"/>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4"/>
      <c r="BD4" s="340" t="s">
        <v>5</v>
      </c>
      <c r="BE4" s="341"/>
    </row>
    <row r="5" spans="1:83" ht="27.75" customHeight="1" thickBot="1">
      <c r="D5" s="327"/>
      <c r="E5" s="328"/>
      <c r="F5" s="328"/>
      <c r="G5" s="328"/>
      <c r="H5" s="328"/>
      <c r="I5" s="355"/>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7"/>
      <c r="BD5" s="340" t="s">
        <v>41</v>
      </c>
      <c r="BE5" s="341"/>
    </row>
    <row r="6" spans="1:83" ht="13.9" customHeight="1">
      <c r="D6" s="119"/>
      <c r="E6" s="120"/>
      <c r="F6" s="120"/>
      <c r="G6" s="120"/>
      <c r="H6" s="120"/>
      <c r="I6" s="120"/>
      <c r="J6" s="120"/>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22"/>
      <c r="BE6" s="121"/>
    </row>
    <row r="7" spans="1:83" ht="26.25" customHeight="1">
      <c r="D7" s="308" t="s">
        <v>42</v>
      </c>
      <c r="E7" s="309"/>
      <c r="F7" s="309"/>
      <c r="G7" s="310"/>
      <c r="H7" s="329" t="s">
        <v>43</v>
      </c>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1"/>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row>
    <row r="8" spans="1:83" ht="105" customHeight="1">
      <c r="D8" s="308" t="s">
        <v>44</v>
      </c>
      <c r="E8" s="309"/>
      <c r="F8" s="309"/>
      <c r="G8" s="310"/>
      <c r="H8" s="360" t="s">
        <v>45</v>
      </c>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1"/>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row>
    <row r="9" spans="1:83" ht="24" customHeight="1">
      <c r="D9" s="308" t="s">
        <v>46</v>
      </c>
      <c r="E9" s="309"/>
      <c r="F9" s="309"/>
      <c r="G9" s="310"/>
      <c r="H9" s="329" t="s">
        <v>47</v>
      </c>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1"/>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row>
    <row r="10" spans="1:83" s="184" customFormat="1" ht="24" customHeight="1">
      <c r="D10" s="185"/>
      <c r="E10" s="186"/>
      <c r="F10" s="187"/>
      <c r="G10" s="187"/>
      <c r="H10" s="185"/>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9"/>
      <c r="AZ10" s="189"/>
      <c r="BA10" s="189"/>
      <c r="BB10" s="189"/>
      <c r="BC10" s="189"/>
      <c r="BD10" s="189"/>
      <c r="BE10" s="189"/>
    </row>
    <row r="11" spans="1:83" s="184" customFormat="1" ht="37.5" customHeight="1">
      <c r="A11" s="358" t="s">
        <v>11</v>
      </c>
      <c r="B11" s="358"/>
      <c r="C11" s="359"/>
      <c r="D11" s="361" t="s">
        <v>48</v>
      </c>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3" t="s">
        <v>49</v>
      </c>
      <c r="AZ11" s="364"/>
      <c r="BA11" s="364"/>
      <c r="BB11" s="365"/>
      <c r="BC11" s="366" t="s">
        <v>50</v>
      </c>
      <c r="BD11" s="367"/>
      <c r="BE11" s="368"/>
    </row>
    <row r="12" spans="1:83" ht="24.75" customHeight="1">
      <c r="D12" s="318" t="s">
        <v>51</v>
      </c>
      <c r="E12" s="318"/>
      <c r="F12" s="318"/>
      <c r="G12" s="318"/>
      <c r="H12" s="318"/>
      <c r="I12" s="320"/>
      <c r="J12" s="320"/>
      <c r="K12" s="320"/>
      <c r="L12" s="320"/>
      <c r="M12" s="320"/>
      <c r="N12" s="320"/>
      <c r="O12" s="320"/>
      <c r="P12" s="320"/>
      <c r="Q12" s="320"/>
      <c r="R12" s="320"/>
      <c r="S12" s="320" t="s">
        <v>52</v>
      </c>
      <c r="T12" s="320"/>
      <c r="U12" s="320"/>
      <c r="V12" s="320"/>
      <c r="W12" s="320"/>
      <c r="X12" s="320"/>
      <c r="Y12" s="320"/>
      <c r="Z12" s="320" t="s">
        <v>53</v>
      </c>
      <c r="AA12" s="320"/>
      <c r="AB12" s="320"/>
      <c r="AC12" s="320"/>
      <c r="AD12" s="320"/>
      <c r="AE12" s="320"/>
      <c r="AF12" s="320"/>
      <c r="AG12" s="320"/>
      <c r="AH12" s="320"/>
      <c r="AI12" s="320"/>
      <c r="AJ12" s="336" t="s">
        <v>54</v>
      </c>
      <c r="AK12" s="334" t="s">
        <v>55</v>
      </c>
      <c r="AL12" s="335"/>
      <c r="AM12" s="335"/>
      <c r="AN12" s="335"/>
      <c r="AO12" s="335"/>
      <c r="AP12" s="335"/>
      <c r="AQ12" s="335"/>
      <c r="AR12" s="335" t="s">
        <v>56</v>
      </c>
      <c r="AS12" s="335"/>
      <c r="AT12" s="335"/>
      <c r="AU12" s="335"/>
      <c r="AV12" s="335"/>
      <c r="AW12" s="335"/>
      <c r="AX12" s="335"/>
      <c r="AY12" s="335"/>
      <c r="AZ12" s="335"/>
      <c r="BA12" s="335"/>
      <c r="BB12" s="335"/>
      <c r="BC12" s="335"/>
      <c r="BD12" s="335"/>
      <c r="BE12" s="335"/>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row>
    <row r="13" spans="1:83" ht="33" customHeight="1">
      <c r="D13" s="333" t="s">
        <v>57</v>
      </c>
      <c r="E13" s="317" t="s">
        <v>58</v>
      </c>
      <c r="F13" s="319" t="s">
        <v>59</v>
      </c>
      <c r="G13" s="315" t="s">
        <v>60</v>
      </c>
      <c r="H13" s="318" t="s">
        <v>61</v>
      </c>
      <c r="I13" s="369" t="s">
        <v>62</v>
      </c>
      <c r="J13" s="370"/>
      <c r="K13" s="317" t="s">
        <v>63</v>
      </c>
      <c r="L13" s="315" t="s">
        <v>64</v>
      </c>
      <c r="M13" s="317" t="s">
        <v>65</v>
      </c>
      <c r="N13" s="318" t="s">
        <v>66</v>
      </c>
      <c r="O13" s="315" t="s">
        <v>67</v>
      </c>
      <c r="P13" s="373" t="s">
        <v>62</v>
      </c>
      <c r="Q13" s="374"/>
      <c r="R13" s="317" t="s">
        <v>68</v>
      </c>
      <c r="S13" s="317" t="s">
        <v>69</v>
      </c>
      <c r="T13" s="318" t="s">
        <v>70</v>
      </c>
      <c r="U13" s="317" t="s">
        <v>71</v>
      </c>
      <c r="V13" s="317" t="s">
        <v>72</v>
      </c>
      <c r="W13" s="317" t="s">
        <v>73</v>
      </c>
      <c r="X13" s="318" t="s">
        <v>70</v>
      </c>
      <c r="Y13" s="317" t="s">
        <v>74</v>
      </c>
      <c r="Z13" s="332" t="s">
        <v>75</v>
      </c>
      <c r="AA13" s="317" t="s">
        <v>76</v>
      </c>
      <c r="AB13" s="317" t="s">
        <v>77</v>
      </c>
      <c r="AC13" s="317" t="s">
        <v>78</v>
      </c>
      <c r="AD13" s="317" t="s">
        <v>79</v>
      </c>
      <c r="AE13" s="317"/>
      <c r="AF13" s="317"/>
      <c r="AG13" s="317"/>
      <c r="AH13" s="317"/>
      <c r="AI13" s="317"/>
      <c r="AJ13" s="337"/>
      <c r="AK13" s="332" t="s">
        <v>80</v>
      </c>
      <c r="AL13" s="332" t="s">
        <v>81</v>
      </c>
      <c r="AM13" s="332" t="s">
        <v>70</v>
      </c>
      <c r="AN13" s="332" t="s">
        <v>82</v>
      </c>
      <c r="AO13" s="332" t="s">
        <v>70</v>
      </c>
      <c r="AP13" s="332" t="s">
        <v>83</v>
      </c>
      <c r="AQ13" s="332" t="s">
        <v>84</v>
      </c>
      <c r="AR13" s="243" t="s">
        <v>85</v>
      </c>
      <c r="AS13" s="317" t="s">
        <v>56</v>
      </c>
      <c r="AT13" s="317" t="s">
        <v>86</v>
      </c>
      <c r="AU13" s="317" t="s">
        <v>87</v>
      </c>
      <c r="AV13" s="317" t="s">
        <v>88</v>
      </c>
      <c r="AW13" s="317" t="s">
        <v>89</v>
      </c>
      <c r="AX13" s="317" t="s">
        <v>90</v>
      </c>
      <c r="AY13" s="345" t="s">
        <v>88</v>
      </c>
      <c r="AZ13" s="347" t="s">
        <v>91</v>
      </c>
      <c r="BA13" s="347" t="s">
        <v>90</v>
      </c>
      <c r="BB13" s="342" t="s">
        <v>92</v>
      </c>
      <c r="BC13" s="344" t="s">
        <v>88</v>
      </c>
      <c r="BD13" s="344" t="s">
        <v>93</v>
      </c>
      <c r="BE13" s="344" t="s">
        <v>90</v>
      </c>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row>
    <row r="14" spans="1:83" s="195" customFormat="1" ht="94.5" customHeight="1">
      <c r="A14" s="192"/>
      <c r="B14" s="192"/>
      <c r="C14" s="192"/>
      <c r="D14" s="333"/>
      <c r="E14" s="317"/>
      <c r="F14" s="320"/>
      <c r="G14" s="316"/>
      <c r="H14" s="318"/>
      <c r="I14" s="191" t="s">
        <v>94</v>
      </c>
      <c r="J14" s="190" t="s">
        <v>95</v>
      </c>
      <c r="K14" s="317"/>
      <c r="L14" s="316"/>
      <c r="M14" s="317"/>
      <c r="N14" s="318"/>
      <c r="O14" s="316"/>
      <c r="P14" s="212" t="s">
        <v>96</v>
      </c>
      <c r="Q14" s="212" t="s">
        <v>97</v>
      </c>
      <c r="R14" s="317"/>
      <c r="S14" s="317"/>
      <c r="T14" s="318"/>
      <c r="U14" s="317"/>
      <c r="V14" s="317"/>
      <c r="W14" s="318"/>
      <c r="X14" s="318"/>
      <c r="Y14" s="317"/>
      <c r="Z14" s="332"/>
      <c r="AA14" s="317"/>
      <c r="AB14" s="317"/>
      <c r="AC14" s="317"/>
      <c r="AD14" s="193" t="s">
        <v>98</v>
      </c>
      <c r="AE14" s="193" t="s">
        <v>99</v>
      </c>
      <c r="AF14" s="193" t="s">
        <v>100</v>
      </c>
      <c r="AG14" s="193" t="s">
        <v>54</v>
      </c>
      <c r="AH14" s="193" t="s">
        <v>101</v>
      </c>
      <c r="AI14" s="193" t="s">
        <v>102</v>
      </c>
      <c r="AJ14" s="338"/>
      <c r="AK14" s="332"/>
      <c r="AL14" s="332"/>
      <c r="AM14" s="332"/>
      <c r="AN14" s="332"/>
      <c r="AO14" s="332"/>
      <c r="AP14" s="332"/>
      <c r="AQ14" s="332"/>
      <c r="AR14" s="191" t="s">
        <v>103</v>
      </c>
      <c r="AS14" s="317"/>
      <c r="AT14" s="317"/>
      <c r="AU14" s="317"/>
      <c r="AV14" s="317"/>
      <c r="AW14" s="317"/>
      <c r="AX14" s="317"/>
      <c r="AY14" s="346"/>
      <c r="AZ14" s="348"/>
      <c r="BA14" s="348"/>
      <c r="BB14" s="343"/>
      <c r="BC14" s="344"/>
      <c r="BD14" s="344"/>
      <c r="BE14" s="34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row>
    <row r="15" spans="1:83" s="196" customFormat="1" ht="79.5" customHeight="1">
      <c r="D15" s="321">
        <v>1</v>
      </c>
      <c r="E15" s="321" t="s">
        <v>104</v>
      </c>
      <c r="F15" s="321" t="s">
        <v>105</v>
      </c>
      <c r="G15" s="321" t="s">
        <v>106</v>
      </c>
      <c r="H15" s="321" t="s">
        <v>107</v>
      </c>
      <c r="I15" s="321" t="s">
        <v>107</v>
      </c>
      <c r="J15" s="321" t="s">
        <v>107</v>
      </c>
      <c r="K15" s="239" t="s">
        <v>108</v>
      </c>
      <c r="L15" s="198"/>
      <c r="M15" s="311" t="s">
        <v>109</v>
      </c>
      <c r="N15" s="313" t="s">
        <v>110</v>
      </c>
      <c r="O15" s="302" t="s">
        <v>111</v>
      </c>
      <c r="P15" s="302" t="s">
        <v>112</v>
      </c>
      <c r="Q15" s="304" t="s">
        <v>113</v>
      </c>
      <c r="R15" s="306">
        <v>6</v>
      </c>
      <c r="S15" s="300" t="str">
        <f>IF(R15&lt;=0,"",IF(R15&lt;=2,"Muy Baja",IF(R15&lt;=24,"Baja",IF(R15&lt;=500,"Media",IF(R15&lt;=5000,"Alta","Muy Alta")))))</f>
        <v>Baja</v>
      </c>
      <c r="T15" s="296">
        <f>IF(S15="","",IF(S15="Muy Baja",0.2,IF(S15="Baja",0.4,IF(S15="Media",0.6,IF(S15="Alta",0.8,IF(S15="Muy Alta",1,))))))</f>
        <v>0.4</v>
      </c>
      <c r="U15" s="294" t="s">
        <v>114</v>
      </c>
      <c r="V15" s="296" t="str">
        <f>IF(NOT(ISERROR(MATCH(U15,'[2]Tabla Impacto'!$B$221:$B$223,0))),'[2]Tabla Impacto'!$F$223&amp;"Por favor no seleccionar los criterios de impacto(Afectación Económica o presupuestal y Pérdida Reputacional)",U15)</f>
        <v xml:space="preserve">     El riesgo afecta la imagen de alguna área de la organización</v>
      </c>
      <c r="W15" s="298" t="str">
        <f>IF(OR(V15='[3]Tabla Impacto'!$C$11,V15='[3]Tabla Impacto'!$D$11),"Leve",IF(OR(V15='[3]Tabla Impacto'!$C$12,V15='[3]Tabla Impacto'!$D$12),"Menor",IF(OR(V15='[3]Tabla Impacto'!$C$13,V15='[3]Tabla Impacto'!$D$13),"Moderado",IF(OR(V15='[3]Tabla Impacto'!$C$14,V15='[3]Tabla Impacto'!$D$14),"Mayor",IF(OR(V15='[3]Tabla Impacto'!$C$15,V15='[3]Tabla Impacto'!$D$15),"Catastrófico","")))))</f>
        <v>Leve</v>
      </c>
      <c r="X15" s="296">
        <f>IF(W15="","",IF(W15="Leve",0.2,IF(W15="Menor",0.4,IF(W15="Moderado",0.6,IF(W15="Mayor",0.8,IF(W15="Catastrófico",1,))))))</f>
        <v>0.2</v>
      </c>
      <c r="Y15" s="300" t="str">
        <f>IF(OR(AND(S15="Muy Baja",W15="Leve"),AND(S15="Muy Baja",W15="Menor"),AND(S15="Baja",W15="Leve")),"Bajo",IF(OR(AND(S15="Muy baja",W15="Moderado"),AND(S15="Baja",W15="Menor"),AND(S15="Baja",W15="Moderado"),AND(S15="Media",W15="Leve"),AND(S15="Media",W15="Menor"),AND(S15="Media",W15="Moderado"),AND(S15="Alta",W15="Leve"),AND(S15="Alta",W15="Menor")),"Moderado",IF(OR(AND(S15="Muy Baja",W15="Mayor"),AND(S15="Baja",W15="Mayor"),AND(S15="Media",W15="Mayor"),AND(S15="Alta",W15="Moderado"),AND(S15="Alta",W15="Mayor"),AND(S15="Muy Alta",W15="Leve"),AND(S15="Muy Alta",W15="Menor"),AND(S15="Muy Alta",W15="Moderado"),AND(S15="Muy Alta",W15="Mayor")),"Alto",IF(OR(AND(S15="Muy Baja",W15="Catastrófico"),AND(S15="Baja",W15="Catastrófico"),AND(S15="Media",W15="Catastrófico"),AND(S15="Alta",W15="Catastrófico"),AND(S15="Muy Alta",W15="Catastrófico")),"Extremo",""))))</f>
        <v>Bajo</v>
      </c>
      <c r="Z15" s="234">
        <v>1</v>
      </c>
      <c r="AA15" s="235" t="s">
        <v>115</v>
      </c>
      <c r="AB15" s="236" t="s">
        <v>116</v>
      </c>
      <c r="AC15" s="224" t="str">
        <f>IF(OR(AD15="Preventivo",AD15="Detectivo"),"Probabilidad",IF(AD15="Correctivo","Impacto",""))</f>
        <v>Probabilidad</v>
      </c>
      <c r="AD15" s="225" t="s">
        <v>117</v>
      </c>
      <c r="AE15" s="225" t="s">
        <v>118</v>
      </c>
      <c r="AF15" s="218" t="str">
        <f>IF(AND(AD15="Preventivo",AE15="Automático"),"50%",IF(AND(AD15="Preventivo",AE15="Manual"),"40%",IF(AND(AD15="Detectivo",AE15="Automático"),"40%",IF(AND(AD15="Detectivo",AE15="Manual"),"30%",IF(AND(AD15="Correctivo",AE15="Automático"),"35%",IF(AND(AD15="Correctivo",AE15="Manual"),"25%",""))))))</f>
        <v>40%</v>
      </c>
      <c r="AG15" s="225" t="s">
        <v>119</v>
      </c>
      <c r="AH15" s="225" t="s">
        <v>120</v>
      </c>
      <c r="AI15" s="225" t="s">
        <v>121</v>
      </c>
      <c r="AJ15" s="217" t="s">
        <v>122</v>
      </c>
      <c r="AK15" s="226">
        <f>IFERROR(IF(AC15="Probabilidad",(T15-(+T15*AF15)),IF(AC15="Impacto",T15,"")),"")</f>
        <v>0.24</v>
      </c>
      <c r="AL15" s="227" t="str">
        <f>IFERROR(IF(AK15="","",IF(AK15&lt;=0.2,"Muy Baja",IF(AK15&lt;=0.4,"Baja",IF(AK15&lt;=0.6,"Media",IF(AK15&lt;=0.8,"Alta","Muy Alta"))))),"")</f>
        <v>Baja</v>
      </c>
      <c r="AM15" s="218">
        <f t="shared" ref="AM15" si="0">+AK15</f>
        <v>0.24</v>
      </c>
      <c r="AN15" s="227" t="str">
        <f>IFERROR(IF(AO15="","",IF(AO15&lt;=0.2,"Leve",IF(AO15&lt;=0.4,"Menor",IF(AO15&lt;=0.6,"Moderado",IF(AO15&lt;=0.8,"Mayor","Catastrófico"))))),"")</f>
        <v>Leve</v>
      </c>
      <c r="AO15" s="218">
        <f>IFERROR(IF(AC15="Impacto",(X15-(+X15*AF15)),IF(AC15="Probabilidad",X15,"")),"")</f>
        <v>0.2</v>
      </c>
      <c r="AP15" s="227" t="str">
        <f t="shared" ref="AP15" si="1">IFERROR(IF(OR(AND(AL15="Muy Baja",AN15="Leve"),AND(AL15="Muy Baja",AN15="Menor"),AND(AL15="Baja",AN15="Leve")),"Bajo",IF(OR(AND(AL15="Muy baja",AN15="Moderado"),AND(AL15="Baja",AN15="Menor"),AND(AL15="Baja",AN15="Moderado"),AND(AL15="Media",AN15="Leve"),AND(AL15="Media",AN15="Menor"),AND(AL15="Media",AN15="Moderado"),AND(AL15="Alta",AN15="Leve"),AND(AL15="Alta",AN15="Menor")),"Moderado",IF(OR(AND(AL15="Muy Baja",AN15="Mayor"),AND(AL15="Baja",AN15="Mayor"),AND(AL15="Media",AN15="Mayor"),AND(AL15="Alta",AN15="Moderado"),AND(AL15="Alta",AN15="Mayor"),AND(AL15="Muy Alta",AN15="Leve"),AND(AL15="Muy Alta",AN15="Menor"),AND(AL15="Muy Alta",AN15="Moderado"),AND(AL15="Muy Alta",AN15="Mayor")),"Alto",IF(OR(AND(AL15="Muy Baja",AN15="Catastrófico"),AND(AL15="Baja",AN15="Catastrófico"),AND(AL15="Media",AN15="Catastrófico"),AND(AL15="Alta",AN15="Catastrófico"),AND(AL15="Muy Alta",AN15="Catastrófico")),"Extremo","")))),"")</f>
        <v>Bajo</v>
      </c>
      <c r="AQ15" s="225" t="s">
        <v>123</v>
      </c>
      <c r="AR15" s="225"/>
      <c r="AS15" s="221" t="s">
        <v>124</v>
      </c>
      <c r="AT15" s="222" t="s">
        <v>125</v>
      </c>
      <c r="AU15" s="223">
        <v>45726</v>
      </c>
      <c r="AV15" s="220">
        <v>45726</v>
      </c>
      <c r="AW15" s="217" t="s">
        <v>126</v>
      </c>
      <c r="AX15" s="217" t="s">
        <v>127</v>
      </c>
      <c r="AY15" s="220"/>
      <c r="AZ15" s="217"/>
      <c r="BA15" s="217"/>
      <c r="BB15" s="217"/>
      <c r="BC15" s="220"/>
      <c r="BD15" s="217"/>
      <c r="BE15" s="217"/>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row>
    <row r="16" spans="1:83" s="196" customFormat="1" ht="88.5" customHeight="1">
      <c r="D16" s="322"/>
      <c r="E16" s="322"/>
      <c r="F16" s="322"/>
      <c r="G16" s="322"/>
      <c r="H16" s="322"/>
      <c r="I16" s="322"/>
      <c r="J16" s="322"/>
      <c r="K16" s="239" t="s">
        <v>128</v>
      </c>
      <c r="L16" s="198"/>
      <c r="M16" s="312"/>
      <c r="N16" s="314"/>
      <c r="O16" s="303"/>
      <c r="P16" s="303"/>
      <c r="Q16" s="305"/>
      <c r="R16" s="307"/>
      <c r="S16" s="301"/>
      <c r="T16" s="297"/>
      <c r="U16" s="295"/>
      <c r="V16" s="297"/>
      <c r="W16" s="299"/>
      <c r="X16" s="297"/>
      <c r="Y16" s="301"/>
      <c r="Z16" s="234">
        <v>2</v>
      </c>
      <c r="AA16" s="237" t="s">
        <v>129</v>
      </c>
      <c r="AB16" s="236" t="s">
        <v>130</v>
      </c>
      <c r="AC16" s="202" t="str">
        <f t="shared" ref="AC16:AC22" si="2">IF(OR(AD16="Preventivo",AD16="Detectivo"),"Probabilidad",IF(AD16="Correctivo","Impacto",""))</f>
        <v>Probabilidad</v>
      </c>
      <c r="AD16" s="203" t="s">
        <v>117</v>
      </c>
      <c r="AE16" s="203" t="s">
        <v>118</v>
      </c>
      <c r="AF16" s="200" t="str">
        <f t="shared" ref="AF16:AF22" si="3">IF(AND(AD16="Preventivo",AE16="Automático"),"50%",IF(AND(AD16="Preventivo",AE16="Manual"),"40%",IF(AND(AD16="Detectivo",AE16="Automático"),"40%",IF(AND(AD16="Detectivo",AE16="Manual"),"30%",IF(AND(AD16="Correctivo",AE16="Automático"),"35%",IF(AND(AD16="Correctivo",AE16="Manual"),"25%",""))))))</f>
        <v>40%</v>
      </c>
      <c r="AG16" s="203" t="s">
        <v>119</v>
      </c>
      <c r="AH16" s="203" t="s">
        <v>131</v>
      </c>
      <c r="AI16" s="203" t="s">
        <v>121</v>
      </c>
      <c r="AJ16" s="198" t="s">
        <v>132</v>
      </c>
      <c r="AK16" s="216">
        <f>IFERROR(IF(AND(AC15="Probabilidad",AC16="Probabilidad"),(AM15-(+AM15*AF16)),IF(AC16="Probabilidad",(U15-(+U15*AC16)),IF(AC16="Impacto",AM15,""))),"")</f>
        <v>0.14399999999999999</v>
      </c>
      <c r="AL16" s="204" t="str">
        <f t="shared" ref="AL16:AL22" si="4">IFERROR(IF(AK16="","",IF(AK16&lt;=0.2,"Muy Baja",IF(AK16&lt;=0.4,"Baja",IF(AK16&lt;=0.6,"Media",IF(AK16&lt;=0.8,"Alta","Muy Alta"))))),"")</f>
        <v>Muy Baja</v>
      </c>
      <c r="AM16" s="200">
        <f t="shared" ref="AM16:AM22" si="5">+AK16</f>
        <v>0.14399999999999999</v>
      </c>
      <c r="AN16" s="204" t="str">
        <f t="shared" ref="AN16:AN22" si="6">IFERROR(IF(AO16="","",IF(AO16&lt;=0.2,"Leve",IF(AO16&lt;=0.4,"Menor",IF(AO16&lt;=0.6,"Moderado",IF(AO16&lt;=0.8,"Mayor","Catastrófico"))))),"")</f>
        <v>Leve</v>
      </c>
      <c r="AO16" s="200">
        <f t="shared" ref="AO16:AO22" si="7">IFERROR(IF(AC16="Impacto",(X16-(+X16*AF16)),IF(AC16="Probabilidad",X16,"")),"")</f>
        <v>0</v>
      </c>
      <c r="AP16" s="204" t="str">
        <f t="shared" ref="AP16:AP22" si="8">IFERROR(IF(OR(AND(AL16="Muy Baja",AN16="Leve"),AND(AL16="Muy Baja",AN16="Menor"),AND(AL16="Baja",AN16="Leve")),"Bajo",IF(OR(AND(AL16="Muy baja",AN16="Moderado"),AND(AL16="Baja",AN16="Menor"),AND(AL16="Baja",AN16="Moderado"),AND(AL16="Media",AN16="Leve"),AND(AL16="Media",AN16="Menor"),AND(AL16="Media",AN16="Moderado"),AND(AL16="Alta",AN16="Leve"),AND(AL16="Alta",AN16="Menor")),"Moderado",IF(OR(AND(AL16="Muy Baja",AN16="Mayor"),AND(AL16="Baja",AN16="Mayor"),AND(AL16="Media",AN16="Mayor"),AND(AL16="Alta",AN16="Moderado"),AND(AL16="Alta",AN16="Mayor"),AND(AL16="Muy Alta",AN16="Leve"),AND(AL16="Muy Alta",AN16="Menor"),AND(AL16="Muy Alta",AN16="Moderado"),AND(AL16="Muy Alta",AN16="Mayor")),"Alto",IF(OR(AND(AL16="Muy Baja",AN16="Catastrófico"),AND(AL16="Baja",AN16="Catastrófico"),AND(AL16="Media",AN16="Catastrófico"),AND(AL16="Alta",AN16="Catastrófico"),AND(AL16="Muy Alta",AN16="Catastrófico")),"Extremo","")))),"")</f>
        <v>Bajo</v>
      </c>
      <c r="AQ16" s="203" t="s">
        <v>123</v>
      </c>
      <c r="AR16" s="203"/>
      <c r="AS16" s="228" t="s">
        <v>133</v>
      </c>
      <c r="AT16" s="229" t="s">
        <v>125</v>
      </c>
      <c r="AU16" s="230">
        <v>45726</v>
      </c>
      <c r="AV16" s="205">
        <v>45726</v>
      </c>
      <c r="AW16" s="198" t="s">
        <v>126</v>
      </c>
      <c r="AX16" s="198" t="s">
        <v>127</v>
      </c>
      <c r="AY16" s="205"/>
      <c r="AZ16" s="198"/>
      <c r="BA16" s="198"/>
      <c r="BB16" s="198"/>
      <c r="BC16" s="205"/>
      <c r="BD16" s="198"/>
      <c r="BE16" s="198"/>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row>
    <row r="17" spans="4:83" s="196" customFormat="1" ht="94.5" customHeight="1">
      <c r="D17" s="245">
        <v>2</v>
      </c>
      <c r="E17" s="213" t="s">
        <v>134</v>
      </c>
      <c r="F17" s="213" t="s">
        <v>135</v>
      </c>
      <c r="G17" s="213" t="s">
        <v>106</v>
      </c>
      <c r="H17" s="197" t="s">
        <v>107</v>
      </c>
      <c r="I17" s="197" t="s">
        <v>107</v>
      </c>
      <c r="J17" s="197" t="s">
        <v>107</v>
      </c>
      <c r="K17" s="244" t="s">
        <v>136</v>
      </c>
      <c r="L17" s="198"/>
      <c r="M17" s="239" t="s">
        <v>137</v>
      </c>
      <c r="N17" s="240" t="s">
        <v>138</v>
      </c>
      <c r="O17" s="214" t="s">
        <v>111</v>
      </c>
      <c r="P17" s="198" t="s">
        <v>139</v>
      </c>
      <c r="Q17" s="198" t="s">
        <v>140</v>
      </c>
      <c r="R17" s="241">
        <v>5</v>
      </c>
      <c r="S17" s="199" t="str">
        <f t="shared" ref="S17:S22" si="9">IF(R17&lt;=0,"",IF(R17&lt;=2,"Muy Baja",IF(R17&lt;=24,"Baja",IF(R17&lt;=500,"Media",IF(R17&lt;=5000,"Alta","Muy Alta")))))</f>
        <v>Baja</v>
      </c>
      <c r="T17" s="200">
        <f t="shared" ref="T17:T22" si="10">IF(S17="","",IF(S17="Muy Baja",0.2,IF(S17="Baja",0.4,IF(S17="Media",0.6,IF(S17="Alta",0.8,IF(S17="Muy Alta",1,))))))</f>
        <v>0.4</v>
      </c>
      <c r="U17" s="201" t="s">
        <v>141</v>
      </c>
      <c r="V17" s="200" t="str">
        <f>IF(NOT(ISERROR(MATCH(U17,'[2]Tabla Impacto'!$B$221:$B$223,0))),'[2]Tabla Impacto'!$F$223&amp;"Por favor no seleccionar los criterios de impacto(Afectación Económica o presupuestal y Pérdida Reputacional)",U17)</f>
        <v xml:space="preserve">     Afectación menor a 10 SMLMV .</v>
      </c>
      <c r="W17" s="219" t="str">
        <f>IF(OR(V17='[3]Tabla Impacto'!$C$11,V17='[3]Tabla Impacto'!$D$11),"Leve",IF(OR(V17='[3]Tabla Impacto'!$C$12,V17='[3]Tabla Impacto'!$D$12),"Menor",IF(OR(V17='[3]Tabla Impacto'!$C$13,V17='[3]Tabla Impacto'!$D$13),"Moderado",IF(OR(V17='[3]Tabla Impacto'!$C$14,V17='[3]Tabla Impacto'!$D$14),"Mayor",IF(OR(V17='[3]Tabla Impacto'!$C$15,V17='[3]Tabla Impacto'!$D$15),"Catastrófico","")))))</f>
        <v>Leve</v>
      </c>
      <c r="X17" s="200">
        <f t="shared" ref="X17:X22" si="11">IF(W17="","",IF(W17="Leve",0.2,IF(W17="Menor",0.4,IF(W17="Moderado",0.6,IF(W17="Mayor",0.8,IF(W17="Catastrófico",1,))))))</f>
        <v>0.2</v>
      </c>
      <c r="Y17" s="199" t="str">
        <f t="shared" ref="Y17:Y22" si="12">IF(OR(AND(S17="Muy Baja",W17="Leve"),AND(S17="Muy Baja",W17="Menor"),AND(S17="Baja",W17="Leve")),"Bajo",IF(OR(AND(S17="Muy baja",W17="Moderado"),AND(S17="Baja",W17="Menor"),AND(S17="Baja",W17="Moderado"),AND(S17="Media",W17="Leve"),AND(S17="Media",W17="Menor"),AND(S17="Media",W17="Moderado"),AND(S17="Alta",W17="Leve"),AND(S17="Alta",W17="Menor")),"Moderado",IF(OR(AND(S17="Muy Baja",W17="Mayor"),AND(S17="Baja",W17="Mayor"),AND(S17="Media",W17="Mayor"),AND(S17="Alta",W17="Moderado"),AND(S17="Alta",W17="Mayor"),AND(S17="Muy Alta",W17="Leve"),AND(S17="Muy Alta",W17="Menor"),AND(S17="Muy Alta",W17="Moderado"),AND(S17="Muy Alta",W17="Mayor")),"Alto",IF(OR(AND(S17="Muy Baja",W17="Catastrófico"),AND(S17="Baja",W17="Catastrófico"),AND(S17="Media",W17="Catastrófico"),AND(S17="Alta",W17="Catastrófico"),AND(S17="Muy Alta",W17="Catastrófico")),"Extremo",""))))</f>
        <v>Bajo</v>
      </c>
      <c r="Z17" s="234">
        <v>1</v>
      </c>
      <c r="AA17" s="237" t="s">
        <v>142</v>
      </c>
      <c r="AB17" s="238" t="s">
        <v>143</v>
      </c>
      <c r="AC17" s="202" t="str">
        <f t="shared" si="2"/>
        <v>Probabilidad</v>
      </c>
      <c r="AD17" s="203" t="s">
        <v>117</v>
      </c>
      <c r="AE17" s="203" t="s">
        <v>118</v>
      </c>
      <c r="AF17" s="200" t="str">
        <f t="shared" si="3"/>
        <v>40%</v>
      </c>
      <c r="AG17" s="203" t="s">
        <v>119</v>
      </c>
      <c r="AH17" s="203" t="s">
        <v>120</v>
      </c>
      <c r="AI17" s="203" t="s">
        <v>121</v>
      </c>
      <c r="AJ17" s="198" t="s">
        <v>144</v>
      </c>
      <c r="AK17" s="226">
        <f>IFERROR(IF(AC17="Probabilidad",(T17-(+T17*AF17)),IF(AC17="Impacto",T17,"")),"")</f>
        <v>0.24</v>
      </c>
      <c r="AL17" s="227" t="str">
        <f>IFERROR(IF(AK17="","",IF(AK17&lt;=0.2,"Muy Baja",IF(AK17&lt;=0.4,"Baja",IF(AK17&lt;=0.6,"Media",IF(AK17&lt;=0.8,"Alta","Muy Alta"))))),"")</f>
        <v>Baja</v>
      </c>
      <c r="AM17" s="218">
        <f t="shared" si="5"/>
        <v>0.24</v>
      </c>
      <c r="AN17" s="227" t="str">
        <f>IFERROR(IF(AO17="","",IF(AO17&lt;=0.2,"Leve",IF(AO17&lt;=0.4,"Menor",IF(AO17&lt;=0.6,"Moderado",IF(AO17&lt;=0.8,"Mayor","Catastrófico"))))),"")</f>
        <v>Leve</v>
      </c>
      <c r="AO17" s="218">
        <f>IFERROR(IF(AC17="Impacto",(X17-(+X17*AF17)),IF(AC17="Probabilidad",X17,"")),"")</f>
        <v>0.2</v>
      </c>
      <c r="AP17" s="227" t="str">
        <f t="shared" si="8"/>
        <v>Bajo</v>
      </c>
      <c r="AQ17" s="203" t="s">
        <v>123</v>
      </c>
      <c r="AR17" s="203"/>
      <c r="AS17" s="198" t="s">
        <v>145</v>
      </c>
      <c r="AT17" s="229" t="s">
        <v>125</v>
      </c>
      <c r="AU17" s="230">
        <v>45726</v>
      </c>
      <c r="AV17" s="205">
        <v>45726</v>
      </c>
      <c r="AW17" s="198" t="s">
        <v>126</v>
      </c>
      <c r="AX17" s="198" t="s">
        <v>127</v>
      </c>
      <c r="AY17" s="205"/>
      <c r="AZ17" s="198"/>
      <c r="BA17" s="198"/>
      <c r="BB17" s="198"/>
      <c r="BC17" s="205"/>
      <c r="BD17" s="198"/>
      <c r="BE17" s="198"/>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row>
    <row r="18" spans="4:83" s="196" customFormat="1" ht="102" customHeight="1">
      <c r="D18" s="245">
        <v>3</v>
      </c>
      <c r="E18" s="213" t="s">
        <v>146</v>
      </c>
      <c r="F18" s="213" t="s">
        <v>105</v>
      </c>
      <c r="G18" s="213" t="s">
        <v>106</v>
      </c>
      <c r="H18" s="197" t="s">
        <v>147</v>
      </c>
      <c r="I18" s="197" t="s">
        <v>147</v>
      </c>
      <c r="J18" s="197" t="s">
        <v>147</v>
      </c>
      <c r="K18" s="231" t="s">
        <v>148</v>
      </c>
      <c r="L18" s="198"/>
      <c r="M18" s="231" t="s">
        <v>149</v>
      </c>
      <c r="N18" s="232" t="s">
        <v>150</v>
      </c>
      <c r="O18" s="214" t="s">
        <v>151</v>
      </c>
      <c r="P18" s="198" t="s">
        <v>152</v>
      </c>
      <c r="Q18" s="198" t="s">
        <v>153</v>
      </c>
      <c r="R18" s="233">
        <v>20</v>
      </c>
      <c r="S18" s="199" t="str">
        <f t="shared" si="9"/>
        <v>Baja</v>
      </c>
      <c r="T18" s="200">
        <f t="shared" si="10"/>
        <v>0.4</v>
      </c>
      <c r="U18" s="201" t="s">
        <v>141</v>
      </c>
      <c r="V18" s="200" t="str">
        <f>IF(NOT(ISERROR(MATCH(U18,'[2]Tabla Impacto'!$B$221:$B$223,0))),'[2]Tabla Impacto'!$F$223&amp;"Por favor no seleccionar los criterios de impacto(Afectación Económica o presupuestal y Pérdida Reputacional)",U18)</f>
        <v xml:space="preserve">     Afectación menor a 10 SMLMV .</v>
      </c>
      <c r="W18" s="219" t="str">
        <f>IF(OR(V18='[3]Tabla Impacto'!$C$11,V18='[3]Tabla Impacto'!$D$11),"Leve",IF(OR(V18='[3]Tabla Impacto'!$C$12,V18='[3]Tabla Impacto'!$D$12),"Menor",IF(OR(V18='[3]Tabla Impacto'!$C$13,V18='[3]Tabla Impacto'!$D$13),"Moderado",IF(OR(V18='[3]Tabla Impacto'!$C$14,V18='[3]Tabla Impacto'!$D$14),"Mayor",IF(OR(V18='[3]Tabla Impacto'!$C$15,V18='[3]Tabla Impacto'!$D$15),"Catastrófico","")))))</f>
        <v>Leve</v>
      </c>
      <c r="X18" s="200">
        <f t="shared" si="11"/>
        <v>0.2</v>
      </c>
      <c r="Y18" s="199" t="str">
        <f t="shared" si="12"/>
        <v>Bajo</v>
      </c>
      <c r="Z18" s="234">
        <v>1</v>
      </c>
      <c r="AA18" s="237" t="s">
        <v>154</v>
      </c>
      <c r="AB18" s="238" t="s">
        <v>155</v>
      </c>
      <c r="AC18" s="202" t="str">
        <f t="shared" si="2"/>
        <v>Probabilidad</v>
      </c>
      <c r="AD18" s="203" t="s">
        <v>117</v>
      </c>
      <c r="AE18" s="203" t="s">
        <v>118</v>
      </c>
      <c r="AF18" s="200" t="str">
        <f t="shared" si="3"/>
        <v>40%</v>
      </c>
      <c r="AG18" s="203" t="s">
        <v>119</v>
      </c>
      <c r="AH18" s="203" t="s">
        <v>120</v>
      </c>
      <c r="AI18" s="203" t="s">
        <v>121</v>
      </c>
      <c r="AJ18" s="198" t="s">
        <v>156</v>
      </c>
      <c r="AK18" s="226">
        <f>IFERROR(IF(AC18="Probabilidad",(T18-(+T18*AF18)),IF(AC18="Impacto",T18,"")),"")</f>
        <v>0.24</v>
      </c>
      <c r="AL18" s="227" t="str">
        <f>IFERROR(IF(AK18="","",IF(AK18&lt;=0.2,"Muy Baja",IF(AK18&lt;=0.4,"Baja",IF(AK18&lt;=0.6,"Media",IF(AK18&lt;=0.8,"Alta","Muy Alta"))))),"")</f>
        <v>Baja</v>
      </c>
      <c r="AM18" s="218">
        <f t="shared" ref="AM18" si="13">+AK18</f>
        <v>0.24</v>
      </c>
      <c r="AN18" s="227" t="str">
        <f>IFERROR(IF(AO18="","",IF(AO18&lt;=0.2,"Leve",IF(AO18&lt;=0.4,"Menor",IF(AO18&lt;=0.6,"Moderado",IF(AO18&lt;=0.8,"Mayor","Catastrófico"))))),"")</f>
        <v>Leve</v>
      </c>
      <c r="AO18" s="218">
        <f>IFERROR(IF(AC18="Impacto",(X18-(+X18*AF18)),IF(AC18="Probabilidad",X18,"")),"")</f>
        <v>0.2</v>
      </c>
      <c r="AP18" s="227" t="str">
        <f t="shared" ref="AP18" si="14">IFERROR(IF(OR(AND(AL18="Muy Baja",AN18="Leve"),AND(AL18="Muy Baja",AN18="Menor"),AND(AL18="Baja",AN18="Leve")),"Bajo",IF(OR(AND(AL18="Muy baja",AN18="Moderado"),AND(AL18="Baja",AN18="Menor"),AND(AL18="Baja",AN18="Moderado"),AND(AL18="Media",AN18="Leve"),AND(AL18="Media",AN18="Menor"),AND(AL18="Media",AN18="Moderado"),AND(AL18="Alta",AN18="Leve"),AND(AL18="Alta",AN18="Menor")),"Moderado",IF(OR(AND(AL18="Muy Baja",AN18="Mayor"),AND(AL18="Baja",AN18="Mayor"),AND(AL18="Media",AN18="Mayor"),AND(AL18="Alta",AN18="Moderado"),AND(AL18="Alta",AN18="Mayor"),AND(AL18="Muy Alta",AN18="Leve"),AND(AL18="Muy Alta",AN18="Menor"),AND(AL18="Muy Alta",AN18="Moderado"),AND(AL18="Muy Alta",AN18="Mayor")),"Alto",IF(OR(AND(AL18="Muy Baja",AN18="Catastrófico"),AND(AL18="Baja",AN18="Catastrófico"),AND(AL18="Media",AN18="Catastrófico"),AND(AL18="Alta",AN18="Catastrófico"),AND(AL18="Muy Alta",AN18="Catastrófico")),"Extremo","")))),"")</f>
        <v>Bajo</v>
      </c>
      <c r="AQ18" s="203" t="s">
        <v>123</v>
      </c>
      <c r="AR18" s="203"/>
      <c r="AS18" s="198" t="s">
        <v>157</v>
      </c>
      <c r="AT18" s="229" t="s">
        <v>125</v>
      </c>
      <c r="AU18" s="230">
        <v>45726</v>
      </c>
      <c r="AV18" s="205">
        <v>45726</v>
      </c>
      <c r="AW18" s="198" t="s">
        <v>126</v>
      </c>
      <c r="AX18" s="198" t="s">
        <v>127</v>
      </c>
      <c r="AY18" s="205"/>
      <c r="AZ18" s="198"/>
      <c r="BA18" s="198"/>
      <c r="BB18" s="198"/>
      <c r="BC18" s="205"/>
      <c r="BD18" s="198"/>
      <c r="BE18" s="198"/>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row>
    <row r="19" spans="4:83" s="196" customFormat="1" ht="60" customHeight="1">
      <c r="D19" s="246">
        <v>4</v>
      </c>
      <c r="E19" s="213"/>
      <c r="F19" s="213"/>
      <c r="G19" s="213"/>
      <c r="H19" s="197"/>
      <c r="I19" s="197"/>
      <c r="J19" s="197"/>
      <c r="K19" s="239"/>
      <c r="L19" s="198"/>
      <c r="M19" s="239"/>
      <c r="N19" s="240"/>
      <c r="O19" s="214"/>
      <c r="P19" s="198"/>
      <c r="Q19" s="198"/>
      <c r="R19" s="241"/>
      <c r="S19" s="199" t="str">
        <f t="shared" ref="S19:S20" si="15">IF(R19&lt;=0,"",IF(R19&lt;=2,"Muy Baja",IF(R19&lt;=24,"Baja",IF(R19&lt;=500,"Media",IF(R19&lt;=5000,"Alta","Muy Alta")))))</f>
        <v/>
      </c>
      <c r="T19" s="200" t="str">
        <f t="shared" ref="T19:T20" si="16">IF(S19="","",IF(S19="Muy Baja",0.2,IF(S19="Baja",0.4,IF(S19="Media",0.6,IF(S19="Alta",0.8,IF(S19="Muy Alta",1,))))))</f>
        <v/>
      </c>
      <c r="U19" s="201"/>
      <c r="V19" s="200">
        <f>IF(NOT(ISERROR(MATCH(U19,'[2]Tabla Impacto'!$B$221:$B$223,0))),'[2]Tabla Impacto'!$F$223&amp;"Por favor no seleccionar los criterios de impacto(Afectación Económica o presupuestal y Pérdida Reputacional)",U19)</f>
        <v>0</v>
      </c>
      <c r="W19" s="219" t="str">
        <f>IF(OR(V19='[3]Tabla Impacto'!$C$11,V19='[3]Tabla Impacto'!$D$11),"Leve",IF(OR(V19='[3]Tabla Impacto'!$C$12,V19='[3]Tabla Impacto'!$D$12),"Menor",IF(OR(V19='[3]Tabla Impacto'!$C$13,V19='[3]Tabla Impacto'!$D$13),"Moderado",IF(OR(V19='[3]Tabla Impacto'!$C$14,V19='[3]Tabla Impacto'!$D$14),"Mayor",IF(OR(V19='[3]Tabla Impacto'!$C$15,V19='[3]Tabla Impacto'!$D$15),"Catastrófico","")))))</f>
        <v/>
      </c>
      <c r="X19" s="200" t="str">
        <f t="shared" ref="X19:X20" si="17">IF(W19="","",IF(W19="Leve",0.2,IF(W19="Menor",0.4,IF(W19="Moderado",0.6,IF(W19="Mayor",0.8,IF(W19="Catastrófico",1,))))))</f>
        <v/>
      </c>
      <c r="Y19" s="199" t="str">
        <f t="shared" ref="Y19:Y20" si="18">IF(OR(AND(S19="Muy Baja",W19="Leve"),AND(S19="Muy Baja",W19="Menor"),AND(S19="Baja",W19="Leve")),"Bajo",IF(OR(AND(S19="Muy baja",W19="Moderado"),AND(S19="Baja",W19="Menor"),AND(S19="Baja",W19="Moderado"),AND(S19="Media",W19="Leve"),AND(S19="Media",W19="Menor"),AND(S19="Media",W19="Moderado"),AND(S19="Alta",W19="Leve"),AND(S19="Alta",W19="Menor")),"Moderado",IF(OR(AND(S19="Muy Baja",W19="Mayor"),AND(S19="Baja",W19="Mayor"),AND(S19="Media",W19="Mayor"),AND(S19="Alta",W19="Moderado"),AND(S19="Alta",W19="Mayor"),AND(S19="Muy Alta",W19="Leve"),AND(S19="Muy Alta",W19="Menor"),AND(S19="Muy Alta",W19="Moderado"),AND(S19="Muy Alta",W19="Mayor")),"Alto",IF(OR(AND(S19="Muy Baja",W19="Catastrófico"),AND(S19="Baja",W19="Catastrófico"),AND(S19="Media",W19="Catastrófico"),AND(S19="Alta",W19="Catastrófico"),AND(S19="Muy Alta",W19="Catastrófico")),"Extremo",""))))</f>
        <v/>
      </c>
      <c r="Z19" s="234"/>
      <c r="AA19" s="237"/>
      <c r="AB19" s="238"/>
      <c r="AC19" s="202" t="str">
        <f t="shared" ref="AC19:AC20" si="19">IF(OR(AD19="Preventivo",AD19="Detectivo"),"Probabilidad",IF(AD19="Correctivo","Impacto",""))</f>
        <v/>
      </c>
      <c r="AD19" s="203"/>
      <c r="AE19" s="203"/>
      <c r="AF19" s="200" t="str">
        <f t="shared" ref="AF19:AF20" si="20">IF(AND(AD19="Preventivo",AE19="Automático"),"50%",IF(AND(AD19="Preventivo",AE19="Manual"),"40%",IF(AND(AD19="Detectivo",AE19="Automático"),"40%",IF(AND(AD19="Detectivo",AE19="Manual"),"30%",IF(AND(AD19="Correctivo",AE19="Automático"),"35%",IF(AND(AD19="Correctivo",AE19="Manual"),"25%",""))))))</f>
        <v/>
      </c>
      <c r="AG19" s="203"/>
      <c r="AH19" s="203"/>
      <c r="AI19" s="203"/>
      <c r="AJ19" s="198"/>
      <c r="AK19" s="216" t="str">
        <f>IFERROR(IF(AND(AD18="Probabilidad",AD19="Probabilidad"),(AM18-(+AM18*AG19)),IF(AD19="Probabilidad",(V18-(+V18*AG19)),IF(AD19="Impacto",AM18,""))),"")</f>
        <v/>
      </c>
      <c r="AL19" s="204" t="str">
        <f t="shared" ref="AL19:AL20" si="21">IFERROR(IF(AK19="","",IF(AK19&lt;=0.2,"Muy Baja",IF(AK19&lt;=0.4,"Baja",IF(AK19&lt;=0.6,"Media",IF(AK19&lt;=0.8,"Alta","Muy Alta"))))),"")</f>
        <v/>
      </c>
      <c r="AM19" s="200" t="str">
        <f t="shared" ref="AM19:AM20" si="22">+AK19</f>
        <v/>
      </c>
      <c r="AN19" s="204" t="str">
        <f t="shared" ref="AN19:AN20" si="23">IFERROR(IF(AO19="","",IF(AO19&lt;=0.2,"Leve",IF(AO19&lt;=0.4,"Menor",IF(AO19&lt;=0.6,"Moderado",IF(AO19&lt;=0.8,"Mayor","Catastrófico"))))),"")</f>
        <v/>
      </c>
      <c r="AO19" s="200" t="str">
        <f t="shared" ref="AO19:AO20" si="24">IFERROR(IF(AC19="Impacto",(X19-(+X19*AF19)),IF(AC19="Probabilidad",X19,"")),"")</f>
        <v/>
      </c>
      <c r="AP19" s="204" t="str">
        <f t="shared" ref="AP19:AP20" si="25">IFERROR(IF(OR(AND(AL19="Muy Baja",AN19="Leve"),AND(AL19="Muy Baja",AN19="Menor"),AND(AL19="Baja",AN19="Leve")),"Bajo",IF(OR(AND(AL19="Muy baja",AN19="Moderado"),AND(AL19="Baja",AN19="Menor"),AND(AL19="Baja",AN19="Moderado"),AND(AL19="Media",AN19="Leve"),AND(AL19="Media",AN19="Menor"),AND(AL19="Media",AN19="Moderado"),AND(AL19="Alta",AN19="Leve"),AND(AL19="Alta",AN19="Menor")),"Moderado",IF(OR(AND(AL19="Muy Baja",AN19="Mayor"),AND(AL19="Baja",AN19="Mayor"),AND(AL19="Media",AN19="Mayor"),AND(AL19="Alta",AN19="Moderado"),AND(AL19="Alta",AN19="Mayor"),AND(AL19="Muy Alta",AN19="Leve"),AND(AL19="Muy Alta",AN19="Menor"),AND(AL19="Muy Alta",AN19="Moderado"),AND(AL19="Muy Alta",AN19="Mayor")),"Alto",IF(OR(AND(AL19="Muy Baja",AN19="Catastrófico"),AND(AL19="Baja",AN19="Catastrófico"),AND(AL19="Media",AN19="Catastrófico"),AND(AL19="Alta",AN19="Catastrófico"),AND(AL19="Muy Alta",AN19="Catastrófico")),"Extremo","")))),"")</f>
        <v/>
      </c>
      <c r="AQ19" s="203"/>
      <c r="AR19" s="203"/>
      <c r="AS19" s="198"/>
      <c r="AT19" s="198"/>
      <c r="AU19" s="205"/>
      <c r="AV19" s="205"/>
      <c r="AW19" s="198"/>
      <c r="AX19" s="198"/>
      <c r="AY19" s="205"/>
      <c r="AZ19" s="198"/>
      <c r="BA19" s="198"/>
      <c r="BB19" s="198"/>
      <c r="BC19" s="205"/>
      <c r="BD19" s="198"/>
      <c r="BE19" s="198"/>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row>
    <row r="20" spans="4:83" s="196" customFormat="1" ht="60" hidden="1" customHeight="1">
      <c r="D20" s="246">
        <v>5</v>
      </c>
      <c r="E20" s="213"/>
      <c r="F20" s="213"/>
      <c r="G20" s="213"/>
      <c r="H20" s="197"/>
      <c r="I20" s="197"/>
      <c r="J20" s="197"/>
      <c r="K20" s="239"/>
      <c r="L20" s="198"/>
      <c r="M20" s="239"/>
      <c r="N20" s="240"/>
      <c r="O20" s="214"/>
      <c r="P20" s="198"/>
      <c r="Q20" s="198"/>
      <c r="R20" s="241"/>
      <c r="S20" s="199" t="str">
        <f t="shared" si="15"/>
        <v/>
      </c>
      <c r="T20" s="200" t="str">
        <f t="shared" si="16"/>
        <v/>
      </c>
      <c r="U20" s="201"/>
      <c r="V20" s="200">
        <f>IF(NOT(ISERROR(MATCH(U20,'[2]Tabla Impacto'!$B$221:$B$223,0))),'[2]Tabla Impacto'!$F$223&amp;"Por favor no seleccionar los criterios de impacto(Afectación Económica o presupuestal y Pérdida Reputacional)",U20)</f>
        <v>0</v>
      </c>
      <c r="W20" s="219" t="str">
        <f>IF(OR(V20='[3]Tabla Impacto'!$C$11,V20='[3]Tabla Impacto'!$D$11),"Leve",IF(OR(V20='[3]Tabla Impacto'!$C$12,V20='[3]Tabla Impacto'!$D$12),"Menor",IF(OR(V20='[3]Tabla Impacto'!$C$13,V20='[3]Tabla Impacto'!$D$13),"Moderado",IF(OR(V20='[3]Tabla Impacto'!$C$14,V20='[3]Tabla Impacto'!$D$14),"Mayor",IF(OR(V20='[3]Tabla Impacto'!$C$15,V20='[3]Tabla Impacto'!$D$15),"Catastrófico","")))))</f>
        <v/>
      </c>
      <c r="X20" s="200" t="str">
        <f t="shared" si="17"/>
        <v/>
      </c>
      <c r="Y20" s="199" t="str">
        <f t="shared" si="18"/>
        <v/>
      </c>
      <c r="Z20" s="234"/>
      <c r="AA20" s="237"/>
      <c r="AB20" s="238"/>
      <c r="AC20" s="202" t="str">
        <f t="shared" si="19"/>
        <v/>
      </c>
      <c r="AD20" s="203"/>
      <c r="AE20" s="203"/>
      <c r="AF20" s="200" t="str">
        <f t="shared" si="20"/>
        <v/>
      </c>
      <c r="AG20" s="203"/>
      <c r="AH20" s="203"/>
      <c r="AI20" s="203"/>
      <c r="AJ20" s="198"/>
      <c r="AK20" s="216" t="str">
        <f t="shared" ref="AK20" si="26">IFERROR(IF(AND(AD19="Probabilidad",AD20="Probabilidad"),(AM19-(+AM19*AG20)),IF(AD20="Probabilidad",(V19-(+V19*AG20)),IF(AD20="Impacto",AM19,""))),"")</f>
        <v/>
      </c>
      <c r="AL20" s="204" t="str">
        <f t="shared" si="21"/>
        <v/>
      </c>
      <c r="AM20" s="200" t="str">
        <f t="shared" si="22"/>
        <v/>
      </c>
      <c r="AN20" s="204" t="str">
        <f t="shared" si="23"/>
        <v/>
      </c>
      <c r="AO20" s="200" t="str">
        <f t="shared" si="24"/>
        <v/>
      </c>
      <c r="AP20" s="204" t="str">
        <f t="shared" si="25"/>
        <v/>
      </c>
      <c r="AQ20" s="203"/>
      <c r="AR20" s="203"/>
      <c r="AS20" s="198"/>
      <c r="AT20" s="198"/>
      <c r="AU20" s="205"/>
      <c r="AV20" s="205"/>
      <c r="AW20" s="198"/>
      <c r="AX20" s="198"/>
      <c r="AY20" s="205"/>
      <c r="AZ20" s="198"/>
      <c r="BA20" s="198"/>
      <c r="BB20" s="198"/>
      <c r="BC20" s="205"/>
      <c r="BD20" s="198"/>
      <c r="BE20" s="198"/>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row>
    <row r="21" spans="4:83" s="196" customFormat="1" ht="60" hidden="1" customHeight="1">
      <c r="D21" s="197">
        <v>6</v>
      </c>
      <c r="E21" s="213"/>
      <c r="F21" s="213"/>
      <c r="G21" s="213"/>
      <c r="H21" s="197"/>
      <c r="I21" s="197"/>
      <c r="J21" s="197"/>
      <c r="K21" s="231"/>
      <c r="L21" s="198"/>
      <c r="M21" s="231"/>
      <c r="N21" s="232"/>
      <c r="O21" s="214"/>
      <c r="P21" s="198"/>
      <c r="Q21" s="198"/>
      <c r="R21" s="233"/>
      <c r="S21" s="199" t="str">
        <f t="shared" si="9"/>
        <v/>
      </c>
      <c r="T21" s="200" t="str">
        <f t="shared" si="10"/>
        <v/>
      </c>
      <c r="U21" s="201"/>
      <c r="V21" s="200">
        <f>IF(NOT(ISERROR(MATCH(U21,'[2]Tabla Impacto'!$B$221:$B$223,0))),'[2]Tabla Impacto'!$F$223&amp;"Por favor no seleccionar los criterios de impacto(Afectación Económica o presupuestal y Pérdida Reputacional)",U21)</f>
        <v>0</v>
      </c>
      <c r="W21" s="219" t="str">
        <f>IF(OR(V21='[3]Tabla Impacto'!$C$11,V21='[3]Tabla Impacto'!$D$11),"Leve",IF(OR(V21='[3]Tabla Impacto'!$C$12,V21='[3]Tabla Impacto'!$D$12),"Menor",IF(OR(V21='[3]Tabla Impacto'!$C$13,V21='[3]Tabla Impacto'!$D$13),"Moderado",IF(OR(V21='[3]Tabla Impacto'!$C$14,V21='[3]Tabla Impacto'!$D$14),"Mayor",IF(OR(V21='[3]Tabla Impacto'!$C$15,V21='[3]Tabla Impacto'!$D$15),"Catastrófico","")))))</f>
        <v/>
      </c>
      <c r="X21" s="200" t="str">
        <f t="shared" si="11"/>
        <v/>
      </c>
      <c r="Y21" s="199" t="str">
        <f t="shared" si="12"/>
        <v/>
      </c>
      <c r="Z21" s="234"/>
      <c r="AA21" s="237"/>
      <c r="AB21" s="238"/>
      <c r="AC21" s="202" t="str">
        <f t="shared" si="2"/>
        <v/>
      </c>
      <c r="AD21" s="203"/>
      <c r="AE21" s="203"/>
      <c r="AF21" s="200" t="str">
        <f t="shared" si="3"/>
        <v/>
      </c>
      <c r="AG21" s="203"/>
      <c r="AH21" s="203"/>
      <c r="AI21" s="203"/>
      <c r="AJ21" s="198"/>
      <c r="AK21" s="215" t="str">
        <f t="shared" ref="AK21" si="27">IFERROR(IF(AD21="Probabilidad",(U21-(+U21*AG21)),IF(AD21="Impacto",U21,"")),"")</f>
        <v/>
      </c>
      <c r="AL21" s="204" t="str">
        <f t="shared" si="4"/>
        <v/>
      </c>
      <c r="AM21" s="200" t="str">
        <f t="shared" si="5"/>
        <v/>
      </c>
      <c r="AN21" s="204" t="str">
        <f t="shared" si="6"/>
        <v/>
      </c>
      <c r="AO21" s="200" t="str">
        <f t="shared" si="7"/>
        <v/>
      </c>
      <c r="AP21" s="204" t="str">
        <f t="shared" si="8"/>
        <v/>
      </c>
      <c r="AQ21" s="203"/>
      <c r="AR21" s="203"/>
      <c r="AS21" s="198"/>
      <c r="AT21" s="198"/>
      <c r="AU21" s="205"/>
      <c r="AV21" s="205"/>
      <c r="AW21" s="198"/>
      <c r="AX21" s="198"/>
      <c r="AY21" s="205"/>
      <c r="AZ21" s="198"/>
      <c r="BA21" s="198"/>
      <c r="BB21" s="198"/>
      <c r="BC21" s="205"/>
      <c r="BD21" s="198"/>
      <c r="BE21" s="198"/>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row>
    <row r="22" spans="4:83" s="196" customFormat="1" ht="60" hidden="1" customHeight="1">
      <c r="D22" s="197">
        <v>7</v>
      </c>
      <c r="E22" s="213"/>
      <c r="F22" s="213"/>
      <c r="G22" s="213"/>
      <c r="H22" s="197"/>
      <c r="I22" s="197"/>
      <c r="J22" s="197"/>
      <c r="K22" s="231"/>
      <c r="L22" s="198"/>
      <c r="M22" s="231"/>
      <c r="N22" s="232"/>
      <c r="O22" s="214"/>
      <c r="P22" s="198"/>
      <c r="Q22" s="198"/>
      <c r="R22" s="233"/>
      <c r="S22" s="199" t="str">
        <f t="shared" si="9"/>
        <v/>
      </c>
      <c r="T22" s="200" t="str">
        <f t="shared" si="10"/>
        <v/>
      </c>
      <c r="U22" s="201"/>
      <c r="V22" s="200">
        <f>IF(NOT(ISERROR(MATCH(U22,'[2]Tabla Impacto'!$B$221:$B$223,0))),'[2]Tabla Impacto'!$F$223&amp;"Por favor no seleccionar los criterios de impacto(Afectación Económica o presupuestal y Pérdida Reputacional)",U22)</f>
        <v>0</v>
      </c>
      <c r="W22" s="219" t="str">
        <f>IF(OR(V22='[3]Tabla Impacto'!$C$11,V22='[3]Tabla Impacto'!$D$11),"Leve",IF(OR(V22='[3]Tabla Impacto'!$C$12,V22='[3]Tabla Impacto'!$D$12),"Menor",IF(OR(V22='[3]Tabla Impacto'!$C$13,V22='[3]Tabla Impacto'!$D$13),"Moderado",IF(OR(V22='[3]Tabla Impacto'!$C$14,V22='[3]Tabla Impacto'!$D$14),"Mayor",IF(OR(V22='[3]Tabla Impacto'!$C$15,V22='[3]Tabla Impacto'!$D$15),"Catastrófico","")))))</f>
        <v/>
      </c>
      <c r="X22" s="200" t="str">
        <f t="shared" si="11"/>
        <v/>
      </c>
      <c r="Y22" s="199" t="str">
        <f t="shared" si="12"/>
        <v/>
      </c>
      <c r="Z22" s="234"/>
      <c r="AA22" s="237"/>
      <c r="AB22" s="238"/>
      <c r="AC22" s="202" t="str">
        <f t="shared" si="2"/>
        <v/>
      </c>
      <c r="AD22" s="203"/>
      <c r="AE22" s="203"/>
      <c r="AF22" s="200" t="str">
        <f t="shared" si="3"/>
        <v/>
      </c>
      <c r="AG22" s="203"/>
      <c r="AH22" s="203"/>
      <c r="AI22" s="203"/>
      <c r="AJ22" s="198"/>
      <c r="AK22" s="216" t="str">
        <f>IFERROR(IF(AND(AD21="Probabilidad",AD22="Probabilidad"),(AM21-(+AM21*AG22)),IF(AD22="Probabilidad",(V21-(+V21*AG22)),IF(AD22="Impacto",AM21,""))),"")</f>
        <v/>
      </c>
      <c r="AL22" s="204" t="str">
        <f t="shared" si="4"/>
        <v/>
      </c>
      <c r="AM22" s="200" t="str">
        <f t="shared" si="5"/>
        <v/>
      </c>
      <c r="AN22" s="204" t="str">
        <f t="shared" si="6"/>
        <v/>
      </c>
      <c r="AO22" s="200" t="str">
        <f t="shared" si="7"/>
        <v/>
      </c>
      <c r="AP22" s="204" t="str">
        <f t="shared" si="8"/>
        <v/>
      </c>
      <c r="AQ22" s="203"/>
      <c r="AR22" s="203"/>
      <c r="AS22" s="198"/>
      <c r="AT22" s="198"/>
      <c r="AU22" s="205"/>
      <c r="AV22" s="205"/>
      <c r="AW22" s="198"/>
      <c r="AX22" s="198"/>
      <c r="AY22" s="205"/>
      <c r="AZ22" s="198"/>
      <c r="BA22" s="198"/>
      <c r="BB22" s="198"/>
      <c r="BC22" s="205"/>
      <c r="BD22" s="198"/>
      <c r="BE22" s="198"/>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row>
    <row r="23" spans="4:83" ht="49.5" customHeight="1">
      <c r="D23" s="207"/>
      <c r="E23" s="208"/>
      <c r="F23" s="208"/>
      <c r="G23" s="208"/>
      <c r="H23" s="208"/>
      <c r="I23" s="242"/>
      <c r="J23" s="242"/>
      <c r="K23" s="381" t="s">
        <v>158</v>
      </c>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2"/>
    </row>
    <row r="25" spans="4:83" ht="15.75">
      <c r="D25" s="109"/>
      <c r="E25" s="110"/>
      <c r="F25" s="110"/>
      <c r="G25" s="110"/>
      <c r="H25" s="110"/>
      <c r="I25" s="110"/>
      <c r="J25" s="110"/>
      <c r="K25" s="110"/>
      <c r="L25" s="110"/>
      <c r="M25" s="110"/>
      <c r="N25" s="110"/>
      <c r="O25" s="179"/>
      <c r="P25" s="179"/>
      <c r="Q25" s="179"/>
      <c r="S25" s="111"/>
      <c r="T25" s="110"/>
      <c r="U25" s="110"/>
      <c r="V25" s="110"/>
      <c r="W25" s="110"/>
      <c r="X25" s="110"/>
      <c r="Y25" s="110"/>
      <c r="Z25" s="110"/>
      <c r="AA25" s="110"/>
      <c r="AB25" s="110"/>
      <c r="AC25" s="112"/>
      <c r="AD25" s="112"/>
      <c r="AE25" s="110"/>
      <c r="AF25" s="110"/>
      <c r="AG25" s="110"/>
      <c r="AH25" s="110"/>
      <c r="AI25" s="110"/>
      <c r="AJ25" s="110"/>
      <c r="AK25" s="110"/>
      <c r="AL25" s="110"/>
      <c r="AM25" s="110"/>
      <c r="AN25" s="110"/>
      <c r="AO25" s="110"/>
      <c r="AP25" s="110"/>
      <c r="AQ25" s="113"/>
      <c r="AR25" s="113"/>
      <c r="AS25" s="113"/>
      <c r="AT25" s="110"/>
      <c r="AU25" s="110"/>
      <c r="AV25" s="110"/>
      <c r="AW25" s="110"/>
      <c r="AX25" s="110"/>
      <c r="AY25" s="110"/>
      <c r="AZ25" s="110"/>
    </row>
    <row r="26" spans="4:83" ht="18">
      <c r="D26" s="654" t="s">
        <v>159</v>
      </c>
      <c r="E26" s="380"/>
      <c r="F26" s="380"/>
      <c r="G26" s="380"/>
      <c r="H26" s="380"/>
      <c r="I26" s="380"/>
      <c r="J26" s="380"/>
      <c r="K26" s="380"/>
      <c r="L26" s="380"/>
      <c r="M26" s="380"/>
      <c r="N26" s="380"/>
      <c r="O26" s="179"/>
      <c r="P26" s="179"/>
      <c r="Q26" s="179"/>
      <c r="R26" s="376" t="s">
        <v>160</v>
      </c>
      <c r="S26" s="377"/>
      <c r="T26" s="377"/>
      <c r="U26" s="378"/>
      <c r="V26" s="110"/>
      <c r="W26" s="110"/>
      <c r="X26" s="110"/>
      <c r="Y26" s="110"/>
      <c r="Z26" s="110"/>
      <c r="AA26" s="110"/>
      <c r="AB26" s="113"/>
      <c r="AC26" s="112"/>
      <c r="AD26" s="112"/>
      <c r="AE26" s="110"/>
      <c r="AF26" s="112"/>
      <c r="AG26" s="112"/>
      <c r="AH26" s="110"/>
      <c r="AI26" s="110"/>
      <c r="AJ26" s="110"/>
      <c r="AK26" s="110"/>
      <c r="AL26" s="110"/>
      <c r="AM26" s="110"/>
      <c r="AN26" s="110"/>
      <c r="AO26" s="110"/>
      <c r="AP26" s="110"/>
      <c r="AQ26" s="110"/>
      <c r="AR26" s="110"/>
      <c r="AS26" s="110"/>
      <c r="AT26" s="110"/>
      <c r="AU26" s="110"/>
      <c r="AV26" s="110"/>
      <c r="AW26" s="110"/>
      <c r="AX26" s="110"/>
      <c r="AY26" s="110"/>
      <c r="AZ26" s="110"/>
    </row>
    <row r="27" spans="4:83" ht="15" thickBot="1">
      <c r="D27" s="179"/>
      <c r="E27" s="179"/>
      <c r="F27" s="179"/>
      <c r="G27" s="179"/>
      <c r="H27" s="179"/>
      <c r="I27" s="179"/>
      <c r="J27" s="179"/>
      <c r="K27" s="179"/>
      <c r="L27" s="179"/>
      <c r="M27" s="179"/>
      <c r="O27" s="179"/>
      <c r="P27" s="179"/>
      <c r="Q27" s="179"/>
      <c r="S27" s="181" t="str">
        <f>+IFERROR(VLOOKUP(O27,$O$182:$S$186,3,FALSE)*VLOOKUP(R27,$R$182:$S$186,3,FALSE),"")</f>
        <v/>
      </c>
      <c r="AC27" s="181"/>
      <c r="AD27" s="209"/>
      <c r="AF27" s="209"/>
      <c r="AG27" s="209"/>
      <c r="AH27" s="210"/>
      <c r="AI27" s="210"/>
      <c r="AJ27" s="210"/>
      <c r="AK27" s="210"/>
      <c r="AL27" s="210"/>
      <c r="AM27" s="114"/>
      <c r="AN27" s="114"/>
      <c r="AO27" s="210"/>
      <c r="AP27" s="211"/>
      <c r="AU27" s="210"/>
      <c r="AW27" s="210"/>
      <c r="AY27" s="210"/>
    </row>
    <row r="28" spans="4:83" ht="17.45" customHeight="1" thickTop="1" thickBot="1">
      <c r="D28" s="375" t="s">
        <v>161</v>
      </c>
      <c r="E28" s="375"/>
      <c r="F28" s="375"/>
      <c r="G28" s="375"/>
      <c r="H28" s="375"/>
      <c r="I28" s="375"/>
      <c r="J28" s="375"/>
      <c r="K28" s="375"/>
      <c r="L28" s="375"/>
      <c r="M28" s="375"/>
      <c r="N28" s="178" t="s">
        <v>162</v>
      </c>
      <c r="O28" s="375" t="s">
        <v>163</v>
      </c>
      <c r="P28" s="375"/>
      <c r="Q28" s="375"/>
      <c r="R28" s="375"/>
      <c r="S28" s="375"/>
      <c r="T28" s="375"/>
      <c r="U28" s="375"/>
      <c r="V28" s="118"/>
      <c r="W28" s="379" t="s">
        <v>164</v>
      </c>
      <c r="X28" s="379"/>
      <c r="Y28" s="379"/>
      <c r="Z28" s="375" t="s">
        <v>165</v>
      </c>
      <c r="AA28" s="375"/>
      <c r="AB28" s="375"/>
      <c r="AC28" s="375"/>
      <c r="AD28" s="379">
        <v>1</v>
      </c>
      <c r="AE28" s="379"/>
      <c r="AF28" s="379"/>
      <c r="AG28" s="379"/>
      <c r="AH28" s="117"/>
      <c r="AI28" s="117"/>
      <c r="AJ28" s="117"/>
      <c r="AK28" s="117"/>
      <c r="AL28" s="117"/>
      <c r="AM28" s="117"/>
      <c r="AN28" s="117"/>
      <c r="AO28" s="117"/>
      <c r="AP28" s="117"/>
      <c r="AQ28" s="117"/>
      <c r="AR28" s="117"/>
      <c r="AS28" s="117"/>
      <c r="AT28" s="117"/>
      <c r="AU28" s="117"/>
      <c r="AV28" s="117"/>
      <c r="AW28" s="117"/>
      <c r="AX28" s="117"/>
      <c r="AY28" s="117"/>
      <c r="AZ28" s="115"/>
    </row>
    <row r="29" spans="4:83" ht="36.75" customHeight="1" thickTop="1">
      <c r="D29" s="371" t="s">
        <v>166</v>
      </c>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row>
  </sheetData>
  <dataConsolidate/>
  <mergeCells count="96">
    <mergeCell ref="I13:J13"/>
    <mergeCell ref="D29:AG29"/>
    <mergeCell ref="P13:Q13"/>
    <mergeCell ref="D28:M28"/>
    <mergeCell ref="R26:U26"/>
    <mergeCell ref="O28:U28"/>
    <mergeCell ref="W28:Y28"/>
    <mergeCell ref="D26:N26"/>
    <mergeCell ref="Z28:AC28"/>
    <mergeCell ref="AD28:AG28"/>
    <mergeCell ref="Z13:Z14"/>
    <mergeCell ref="AA13:AA14"/>
    <mergeCell ref="K23:AX23"/>
    <mergeCell ref="AL13:AL14"/>
    <mergeCell ref="R13:R14"/>
    <mergeCell ref="A11:C11"/>
    <mergeCell ref="D8:G8"/>
    <mergeCell ref="D9:G9"/>
    <mergeCell ref="H9:BE9"/>
    <mergeCell ref="H8:BE8"/>
    <mergeCell ref="D11:AX11"/>
    <mergeCell ref="AY11:BB11"/>
    <mergeCell ref="BC11:BE11"/>
    <mergeCell ref="BD2:BE2"/>
    <mergeCell ref="BD3:BE3"/>
    <mergeCell ref="BD4:BE4"/>
    <mergeCell ref="BD5:BE5"/>
    <mergeCell ref="BB13:BB14"/>
    <mergeCell ref="BD13:BD14"/>
    <mergeCell ref="BE13:BE14"/>
    <mergeCell ref="BC13:BC14"/>
    <mergeCell ref="AR12:BE12"/>
    <mergeCell ref="AY13:AY14"/>
    <mergeCell ref="AZ13:AZ14"/>
    <mergeCell ref="AS13:AS14"/>
    <mergeCell ref="BA13:BA14"/>
    <mergeCell ref="I2:BC5"/>
    <mergeCell ref="Z12:AI12"/>
    <mergeCell ref="AN13:AN14"/>
    <mergeCell ref="S13:S14"/>
    <mergeCell ref="T13:T14"/>
    <mergeCell ref="W13:W14"/>
    <mergeCell ref="AC13:AC14"/>
    <mergeCell ref="X13:X14"/>
    <mergeCell ref="Y13:Y14"/>
    <mergeCell ref="AK12:AQ12"/>
    <mergeCell ref="AD13:AI13"/>
    <mergeCell ref="AJ12:AJ14"/>
    <mergeCell ref="AX13:AX14"/>
    <mergeCell ref="AW13:AW14"/>
    <mergeCell ref="AV13:AV14"/>
    <mergeCell ref="AU13:AU14"/>
    <mergeCell ref="AT13:AT14"/>
    <mergeCell ref="AM13:AM14"/>
    <mergeCell ref="D2:H5"/>
    <mergeCell ref="H7:BE7"/>
    <mergeCell ref="AQ13:AQ14"/>
    <mergeCell ref="AP13:AP14"/>
    <mergeCell ref="AO13:AO14"/>
    <mergeCell ref="AK13:AK14"/>
    <mergeCell ref="AB13:AB14"/>
    <mergeCell ref="O13:O14"/>
    <mergeCell ref="D12:R12"/>
    <mergeCell ref="S12:Y12"/>
    <mergeCell ref="N13:N14"/>
    <mergeCell ref="M13:M14"/>
    <mergeCell ref="K13:K14"/>
    <mergeCell ref="U13:U14"/>
    <mergeCell ref="V13:V14"/>
    <mergeCell ref="D13:D14"/>
    <mergeCell ref="D7:G7"/>
    <mergeCell ref="M15:M16"/>
    <mergeCell ref="N15:N16"/>
    <mergeCell ref="O15:O16"/>
    <mergeCell ref="L13:L14"/>
    <mergeCell ref="E13:E14"/>
    <mergeCell ref="H13:H14"/>
    <mergeCell ref="G13:G14"/>
    <mergeCell ref="F13:F14"/>
    <mergeCell ref="D15:D16"/>
    <mergeCell ref="E15:E16"/>
    <mergeCell ref="F15:F16"/>
    <mergeCell ref="G15:G16"/>
    <mergeCell ref="H15:H16"/>
    <mergeCell ref="I15:I16"/>
    <mergeCell ref="J15:J16"/>
    <mergeCell ref="P15:P16"/>
    <mergeCell ref="Q15:Q16"/>
    <mergeCell ref="R15:R16"/>
    <mergeCell ref="S15:S16"/>
    <mergeCell ref="T15:T16"/>
    <mergeCell ref="U15:U16"/>
    <mergeCell ref="V15:V16"/>
    <mergeCell ref="W15:W16"/>
    <mergeCell ref="X15:X16"/>
    <mergeCell ref="Y15:Y16"/>
  </mergeCells>
  <conditionalFormatting sqref="S15 AL15:AL22 S17:S22">
    <cfRule type="cellIs" dxfId="23" priority="62" operator="equal">
      <formula>"Muy Alta"</formula>
    </cfRule>
    <cfRule type="cellIs" dxfId="22" priority="63" operator="equal">
      <formula>"Alta"</formula>
    </cfRule>
    <cfRule type="cellIs" dxfId="21" priority="64" operator="equal">
      <formula>"Media"</formula>
    </cfRule>
    <cfRule type="cellIs" dxfId="20" priority="65" operator="equal">
      <formula>"Baja"</formula>
    </cfRule>
    <cfRule type="cellIs" dxfId="19" priority="66" operator="equal">
      <formula>"Muy Baja"</formula>
    </cfRule>
  </conditionalFormatting>
  <conditionalFormatting sqref="V15 V17:V22">
    <cfRule type="containsText" dxfId="18" priority="38" operator="containsText" text="❌">
      <formula>NOT(ISERROR(SEARCH("❌",V15)))</formula>
    </cfRule>
  </conditionalFormatting>
  <conditionalFormatting sqref="W15 AN15:AN22 W17:W22">
    <cfRule type="cellIs" dxfId="17" priority="1" operator="equal">
      <formula>"Catastrófico"</formula>
    </cfRule>
    <cfRule type="cellIs" dxfId="16" priority="2" operator="equal">
      <formula>"Mayor"</formula>
    </cfRule>
    <cfRule type="cellIs" dxfId="15" priority="3" operator="equal">
      <formula>"Moderado"</formula>
    </cfRule>
    <cfRule type="cellIs" dxfId="14" priority="4" operator="equal">
      <formula>"Menor"</formula>
    </cfRule>
    <cfRule type="cellIs" dxfId="13" priority="5" operator="equal">
      <formula>"Leve"</formula>
    </cfRule>
  </conditionalFormatting>
  <conditionalFormatting sqref="Y15 AP15:AP22 Y17:Y22">
    <cfRule type="cellIs" dxfId="12" priority="53" operator="equal">
      <formula>"Extremo"</formula>
    </cfRule>
    <cfRule type="cellIs" dxfId="11" priority="54" operator="equal">
      <formula>"Alto"</formula>
    </cfRule>
    <cfRule type="cellIs" dxfId="10" priority="55" operator="equal">
      <formula>"Moderado"</formula>
    </cfRule>
    <cfRule type="cellIs" dxfId="9" priority="56" operator="equal">
      <formula>"Bajo"</formula>
    </cfRule>
  </conditionalFormatting>
  <conditionalFormatting sqref="AM25:AM27">
    <cfRule type="cellIs" dxfId="8" priority="27" operator="equal">
      <formula>#REF!</formula>
    </cfRule>
    <cfRule type="cellIs" dxfId="7" priority="28" operator="equal">
      <formula>#REF!</formula>
    </cfRule>
  </conditionalFormatting>
  <conditionalFormatting sqref="AM25:AN27">
    <cfRule type="cellIs" dxfId="6" priority="26" stopIfTrue="1" operator="equal">
      <formula>#REF!</formula>
    </cfRule>
  </conditionalFormatting>
  <conditionalFormatting sqref="AN25:AN27">
    <cfRule type="cellIs" dxfId="5" priority="30" stopIfTrue="1" operator="equal">
      <formula>#REF!</formula>
    </cfRule>
    <cfRule type="cellIs" dxfId="4" priority="31" stopIfTrue="1" operator="equal">
      <formula>#REF!</formula>
    </cfRule>
  </conditionalFormatting>
  <dataValidations count="6">
    <dataValidation type="list" allowBlank="1" showInputMessage="1" showErrorMessage="1" sqref="N25" xr:uid="{61DF7E04-DE5E-4FE1-A38F-8A138AA87D58}">
      <formula1>$N$182:$N$191</formula1>
    </dataValidation>
    <dataValidation type="list" allowBlank="1" showInputMessage="1" showErrorMessage="1" sqref="N27 AM27:AN27" xr:uid="{66A41BD7-B090-4403-937D-0435537D31DA}">
      <formula1>#REF!</formula1>
    </dataValidation>
    <dataValidation type="list" allowBlank="1" showInputMessage="1" showErrorMessage="1" sqref="AC27" xr:uid="{3BD557FD-BAB0-4660-A45C-D7AACD9880D7}">
      <formula1>$U$182:$U$183</formula1>
    </dataValidation>
    <dataValidation type="list" allowBlank="1" showInputMessage="1" showErrorMessage="1" sqref="R27" xr:uid="{6EC8CB42-9310-43CD-8FAB-388F6EFE7B5E}">
      <formula1>$R$182:$R$186</formula1>
    </dataValidation>
    <dataValidation type="list" allowBlank="1" showInputMessage="1" showErrorMessage="1" sqref="O27:Q27" xr:uid="{681E5490-2B09-494D-9B90-359A2E8F22F3}">
      <formula1>$O$182:$O$186</formula1>
    </dataValidation>
    <dataValidation type="list" allowBlank="1" showInputMessage="1" showErrorMessage="1" sqref="AY27 AF27:AL27 AD27 AU27 AW27" xr:uid="{208EF431-1729-4D5C-B151-F6757CBBD462}">
      <formula1>$AU$182:$AU$189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5E056D49-2A01-4844-9657-EAFD8E3B5A80}">
          <x14:formula1>
            <xm:f>'Opciones Tratamiento'!$B$13:$B$19</xm:f>
          </x14:formula1>
          <xm:sqref>O15 O17:O22</xm:sqref>
        </x14:dataValidation>
        <x14:dataValidation type="list" allowBlank="1" showInputMessage="1" showErrorMessage="1" xr:uid="{EF0C0067-1765-4F11-A967-1A801D325D81}">
          <x14:formula1>
            <xm:f>'Tabla Impacto'!$F$210:$F$221</xm:f>
          </x14:formula1>
          <xm:sqref>U15 U17:U22</xm:sqref>
        </x14:dataValidation>
        <x14:dataValidation type="custom" allowBlank="1" showInputMessage="1" showErrorMessage="1" error="Recuerde que las acciones se generan bajo la medida de mitigar el riesgo" xr:uid="{E3EDE35C-AB25-4047-9423-56EED39EADE9}">
          <x14:formula1>
            <xm:f>IF(OR(AQ15='Opciones Tratamiento'!$B$2,AQ15='Opciones Tratamiento'!$B$3,AQ15='Opciones Tratamiento'!$B$4),ISBLANK(AQ15),ISTEXT(AQ15))</xm:f>
          </x14:formula1>
          <xm:sqref>AU15 AY15:AY22 AU19:AU22</xm:sqref>
        </x14:dataValidation>
        <x14:dataValidation type="list" allowBlank="1" showInputMessage="1" showErrorMessage="1" xr:uid="{9E41A0A5-9033-48F4-A523-E78EEE31291B}">
          <x14:formula1>
            <xm:f>Listas!$B$2:$B$7</xm:f>
          </x14:formula1>
          <xm:sqref>H15:J15 H17:J22</xm:sqref>
        </x14:dataValidation>
        <x14:dataValidation type="list" allowBlank="1" showInputMessage="1" showErrorMessage="1" xr:uid="{B88BA28A-2600-4BF8-8D1C-1591DFA3694A}">
          <x14:formula1>
            <xm:f>Listas!$D$2:$D$5</xm:f>
          </x14:formula1>
          <xm:sqref>Q15 Q17:Q22</xm:sqref>
        </x14:dataValidation>
        <x14:dataValidation type="list" allowBlank="1" showInputMessage="1" showErrorMessage="1" xr:uid="{C1C18457-6497-4468-A0EC-5756D2A505AB}">
          <x14:formula1>
            <xm:f>Hoja2!$B$3:$B$18</xm:f>
          </x14:formula1>
          <xm:sqref>E15 E17:E22</xm:sqref>
        </x14:dataValidation>
        <x14:dataValidation type="list" allowBlank="1" showInputMessage="1" showErrorMessage="1" xr:uid="{30B1B799-4F7E-4DF0-8163-3420DCED9D9B}">
          <x14:formula1>
            <xm:f>Hoja2!$D$3:$D$21</xm:f>
          </x14:formula1>
          <xm:sqref>F15 F17:F22</xm:sqref>
        </x14:dataValidation>
        <x14:dataValidation type="list" allowBlank="1" showInputMessage="1" showErrorMessage="1" xr:uid="{4543C4BE-F1CB-4CCC-8B32-CEE48E0F43C3}">
          <x14:formula1>
            <xm:f>Hoja2!$E$3:$E$23</xm:f>
          </x14:formula1>
          <xm:sqref>G15 G17:G22</xm:sqref>
        </x14:dataValidation>
        <x14:dataValidation type="list" allowBlank="1" showInputMessage="1" showErrorMessage="1" xr:uid="{910695D6-E68C-4416-AE2F-7A2A65D2B33E}">
          <x14:formula1>
            <xm:f>Hoja2!$I$3:$I$20</xm:f>
          </x14:formula1>
          <xm:sqref>P15</xm:sqref>
        </x14:dataValidation>
        <x14:dataValidation type="custom" allowBlank="1" showInputMessage="1" showErrorMessage="1" error="Recuerde que las acciones se generan bajo la medida de mitigar el riesgo" xr:uid="{7ED48018-4235-4B97-8418-73E7BBDB0232}">
          <x14:formula1>
            <xm:f>IF(OR(AQ17='Opciones Tratamiento'!$B$2,AQ17='Opciones Tratamiento'!$B$3,AQ17='Opciones Tratamiento'!$B$4),ISBLANK(AQ17),ISTEXT(AQ17))</xm:f>
          </x14:formula1>
          <xm:sqref>AS17:AS22</xm:sqref>
        </x14:dataValidation>
        <x14:dataValidation type="custom" allowBlank="1" showInputMessage="1" showErrorMessage="1" error="Recuerde que las acciones se generan bajo la medida de mitigar el riesgo" xr:uid="{B9F9F086-C384-4D55-BBDC-46D063DF530B}">
          <x14:formula1>
            <xm:f>IF(OR(AQ19='Opciones Tratamiento'!$B$2,AQ19='Opciones Tratamiento'!$B$3,AQ19='Opciones Tratamiento'!$B$4),ISBLANK(AQ19),ISTEXT(AQ19))</xm:f>
          </x14:formula1>
          <xm:sqref>AT19:AT22</xm:sqref>
        </x14:dataValidation>
        <x14:dataValidation type="list" allowBlank="1" showInputMessage="1" showErrorMessage="1" xr:uid="{E1211B7A-6A4E-4A48-9C6D-50DFE53A34CF}">
          <x14:formula1>
            <xm:f>Listas!$C$2:$C$6</xm:f>
          </x14:formula1>
          <xm:sqref>P17:P22</xm:sqref>
        </x14:dataValidation>
        <x14:dataValidation type="list" allowBlank="1" showInputMessage="1" showErrorMessage="1" xr:uid="{FFA9F3EB-8AAC-4371-8BA9-EA5BFF31F870}">
          <x14:formula1>
            <xm:f>'Opciones Tratamiento'!$B$9:$B$10</xm:f>
          </x14:formula1>
          <xm:sqref>BA15:BB22 BE15:BE22 AX15:AX22</xm:sqref>
        </x14:dataValidation>
        <x14:dataValidation type="list" allowBlank="1" showInputMessage="1" showErrorMessage="1" xr:uid="{2F8B922F-A596-4F43-8DB5-EB88E0211184}">
          <x14:formula1>
            <xm:f>'Tabla Valoración controles'!$D$4:$D$6</xm:f>
          </x14:formula1>
          <xm:sqref>AD15:AD22</xm:sqref>
        </x14:dataValidation>
        <x14:dataValidation type="list" allowBlank="1" showInputMessage="1" showErrorMessage="1" xr:uid="{DC38EDB2-F7BD-4E7B-9DDA-3C58EAD78CC5}">
          <x14:formula1>
            <xm:f>'Tabla Valoración controles'!$D$7:$D$8</xm:f>
          </x14:formula1>
          <xm:sqref>AE15:AE22</xm:sqref>
        </x14:dataValidation>
        <x14:dataValidation type="list" allowBlank="1" showInputMessage="1" showErrorMessage="1" xr:uid="{D75AC793-23AB-4ECB-AA93-972ACC7C18B9}">
          <x14:formula1>
            <xm:f>'Tabla Valoración controles'!$D$9:$D$10</xm:f>
          </x14:formula1>
          <xm:sqref>AG15:AG22</xm:sqref>
        </x14:dataValidation>
        <x14:dataValidation type="list" allowBlank="1" showInputMessage="1" showErrorMessage="1" xr:uid="{7CEE6D34-E894-4B07-9738-58E7887FE090}">
          <x14:formula1>
            <xm:f>'Tabla Valoración controles'!$D$11:$D$12</xm:f>
          </x14:formula1>
          <xm:sqref>AH15:AH22</xm:sqref>
        </x14:dataValidation>
        <x14:dataValidation type="list" allowBlank="1" showInputMessage="1" showErrorMessage="1" xr:uid="{B39FB738-8E70-4C89-BE00-31B6F6BC10CA}">
          <x14:formula1>
            <xm:f>'Tabla Valoración controles'!$D$13:$D$14</xm:f>
          </x14:formula1>
          <xm:sqref>AI15:AI22</xm:sqref>
        </x14:dataValidation>
        <x14:dataValidation type="list" allowBlank="1" showInputMessage="1" showErrorMessage="1" xr:uid="{BCC5CE02-71F3-4D30-B2B6-0BC8D084AB56}">
          <x14:formula1>
            <xm:f>'Opciones Tratamiento'!$B$2:$B$5</xm:f>
          </x14:formula1>
          <xm:sqref>AQ15:AQ22</xm:sqref>
        </x14:dataValidation>
        <x14:dataValidation type="custom" allowBlank="1" showInputMessage="1" showErrorMessage="1" error="Recuerde que las acciones se generan bajo la medida de mitigar el riesgo" xr:uid="{5067E0A1-85BC-4774-9D87-F4D5111F4D71}">
          <x14:formula1>
            <xm:f>IF(OR(AQ15='Opciones Tratamiento'!$B$2,AQ15='Opciones Tratamiento'!$B$3,AQ15='Opciones Tratamiento'!$B$4),ISBLANK(AQ15),ISTEXT(AQ15))</xm:f>
          </x14:formula1>
          <xm:sqref>AZ15:AZ22 BC15:BC22 AV15:AV22</xm:sqref>
        </x14:dataValidation>
        <x14:dataValidation type="custom" allowBlank="1" showInputMessage="1" showErrorMessage="1" error="Recuerde que las acciones se generan bajo la medida de mitigar el riesgo" xr:uid="{B9883EC3-2B93-49BB-8FD9-A1B582EB3BDF}">
          <x14:formula1>
            <xm:f>IF(OR(AQ15='Opciones Tratamiento'!$B$2,AQ15='Opciones Tratamiento'!$B$3,AQ15='Opciones Tratamiento'!$B$4),ISBLANK(AQ15),ISTEXT(AQ15))</xm:f>
          </x14:formula1>
          <xm:sqref>BD15:BD22 AW15:AW22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5"/>
  <sheetViews>
    <sheetView workbookViewId="0">
      <selection activeCell="A8" sqref="A8"/>
    </sheetView>
  </sheetViews>
  <sheetFormatPr defaultColWidth="11.42578125" defaultRowHeight="1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c r="B1" s="383" t="s">
        <v>51</v>
      </c>
      <c r="C1" s="383"/>
      <c r="D1" s="383"/>
      <c r="E1" s="383"/>
      <c r="F1" s="383"/>
      <c r="G1" s="383"/>
      <c r="H1" s="383"/>
      <c r="I1" s="383"/>
      <c r="J1" s="383"/>
      <c r="L1" s="383" t="s">
        <v>53</v>
      </c>
      <c r="M1" s="383"/>
      <c r="N1" s="383"/>
      <c r="O1" s="383"/>
      <c r="P1" s="383"/>
      <c r="Q1" s="383"/>
      <c r="R1" s="383"/>
    </row>
    <row r="2" spans="2:18" ht="50.25" customHeight="1">
      <c r="B2" s="175" t="s">
        <v>167</v>
      </c>
      <c r="C2" s="175" t="s">
        <v>168</v>
      </c>
      <c r="D2" s="174" t="s">
        <v>59</v>
      </c>
      <c r="E2" s="174" t="s">
        <v>60</v>
      </c>
      <c r="F2" s="174" t="s">
        <v>169</v>
      </c>
      <c r="G2" s="175" t="s">
        <v>170</v>
      </c>
      <c r="H2" s="176"/>
      <c r="I2" s="175" t="s">
        <v>171</v>
      </c>
      <c r="J2" s="174" t="s">
        <v>172</v>
      </c>
      <c r="L2" s="173" t="s">
        <v>98</v>
      </c>
      <c r="M2" s="173" t="s">
        <v>99</v>
      </c>
      <c r="N2" s="173" t="s">
        <v>54</v>
      </c>
      <c r="O2" s="173" t="s">
        <v>101</v>
      </c>
      <c r="P2" s="173" t="s">
        <v>102</v>
      </c>
      <c r="Q2" s="173" t="s">
        <v>84</v>
      </c>
      <c r="R2" s="177" t="s">
        <v>173</v>
      </c>
    </row>
    <row r="3" spans="2:18" ht="25.5">
      <c r="B3" s="18" t="s">
        <v>104</v>
      </c>
      <c r="C3" s="18" t="s">
        <v>174</v>
      </c>
      <c r="D3" s="116" t="s">
        <v>175</v>
      </c>
      <c r="E3" s="116" t="s">
        <v>106</v>
      </c>
      <c r="F3" t="s">
        <v>176</v>
      </c>
      <c r="G3" s="116" t="s">
        <v>177</v>
      </c>
      <c r="I3" t="s">
        <v>112</v>
      </c>
      <c r="J3" t="s">
        <v>140</v>
      </c>
      <c r="L3" s="2" t="s">
        <v>117</v>
      </c>
      <c r="M3" s="2" t="s">
        <v>178</v>
      </c>
      <c r="N3" s="2" t="s">
        <v>119</v>
      </c>
      <c r="O3" s="2" t="s">
        <v>120</v>
      </c>
      <c r="P3" s="2" t="s">
        <v>179</v>
      </c>
      <c r="Q3" s="2" t="s">
        <v>180</v>
      </c>
      <c r="R3" t="s">
        <v>181</v>
      </c>
    </row>
    <row r="4" spans="2:18" ht="31.5" customHeight="1">
      <c r="B4" s="18" t="s">
        <v>182</v>
      </c>
      <c r="C4" s="18" t="s">
        <v>183</v>
      </c>
      <c r="D4" s="116" t="s">
        <v>105</v>
      </c>
      <c r="E4" s="116" t="s">
        <v>184</v>
      </c>
      <c r="F4" t="s">
        <v>185</v>
      </c>
      <c r="G4" s="116" t="s">
        <v>186</v>
      </c>
      <c r="I4" t="s">
        <v>187</v>
      </c>
      <c r="J4" t="s">
        <v>153</v>
      </c>
      <c r="L4" s="2" t="s">
        <v>188</v>
      </c>
      <c r="M4" s="2" t="s">
        <v>118</v>
      </c>
      <c r="N4" s="2" t="s">
        <v>189</v>
      </c>
      <c r="O4" s="2" t="s">
        <v>131</v>
      </c>
      <c r="P4" s="2" t="s">
        <v>190</v>
      </c>
      <c r="Q4" s="2" t="s">
        <v>191</v>
      </c>
      <c r="R4" t="s">
        <v>127</v>
      </c>
    </row>
    <row r="5" spans="2:18" ht="51.75" customHeight="1">
      <c r="B5" s="18" t="s">
        <v>192</v>
      </c>
      <c r="C5" s="18" t="s">
        <v>193</v>
      </c>
      <c r="D5" s="116" t="s">
        <v>194</v>
      </c>
      <c r="E5" s="116" t="s">
        <v>195</v>
      </c>
      <c r="F5" t="s">
        <v>196</v>
      </c>
      <c r="G5" s="116" t="s">
        <v>197</v>
      </c>
      <c r="I5" t="s">
        <v>152</v>
      </c>
      <c r="J5" t="s">
        <v>198</v>
      </c>
      <c r="L5" s="2" t="s">
        <v>199</v>
      </c>
      <c r="P5" s="2" t="s">
        <v>200</v>
      </c>
      <c r="Q5" s="2" t="s">
        <v>201</v>
      </c>
    </row>
    <row r="6" spans="2:18" ht="24.75" customHeight="1">
      <c r="B6" s="18" t="s">
        <v>185</v>
      </c>
      <c r="C6" s="18" t="s">
        <v>202</v>
      </c>
      <c r="D6" s="116" t="s">
        <v>135</v>
      </c>
      <c r="E6" t="s">
        <v>203</v>
      </c>
      <c r="F6" t="s">
        <v>107</v>
      </c>
      <c r="G6" s="116" t="s">
        <v>204</v>
      </c>
      <c r="I6" t="s">
        <v>139</v>
      </c>
      <c r="J6" t="s">
        <v>205</v>
      </c>
      <c r="Q6" s="2" t="s">
        <v>123</v>
      </c>
    </row>
    <row r="7" spans="2:18" ht="26.25" customHeight="1">
      <c r="B7" s="18" t="s">
        <v>206</v>
      </c>
      <c r="C7" s="18" t="s">
        <v>207</v>
      </c>
      <c r="D7" s="116" t="s">
        <v>208</v>
      </c>
      <c r="F7" t="s">
        <v>209</v>
      </c>
      <c r="G7" s="116" t="s">
        <v>210</v>
      </c>
      <c r="I7" t="s">
        <v>211</v>
      </c>
      <c r="Q7" s="2" t="s">
        <v>212</v>
      </c>
    </row>
    <row r="8" spans="2:18" ht="30">
      <c r="B8" s="18" t="s">
        <v>134</v>
      </c>
      <c r="C8" s="18"/>
      <c r="D8" s="116"/>
      <c r="F8" t="s">
        <v>147</v>
      </c>
      <c r="G8" s="116" t="s">
        <v>213</v>
      </c>
      <c r="I8" s="116" t="s">
        <v>214</v>
      </c>
    </row>
    <row r="9" spans="2:18" ht="31.5" customHeight="1">
      <c r="B9" s="18" t="s">
        <v>215</v>
      </c>
      <c r="C9" s="18"/>
      <c r="D9" s="116"/>
      <c r="G9" s="116" t="s">
        <v>216</v>
      </c>
      <c r="I9" t="s">
        <v>217</v>
      </c>
    </row>
    <row r="10" spans="2:18">
      <c r="B10" s="18" t="s">
        <v>146</v>
      </c>
      <c r="C10" s="18"/>
      <c r="D10" s="116"/>
      <c r="I10" t="s">
        <v>203</v>
      </c>
    </row>
    <row r="11" spans="2:18">
      <c r="B11" s="18" t="s">
        <v>218</v>
      </c>
      <c r="C11" s="18"/>
      <c r="D11" s="116"/>
    </row>
    <row r="12" spans="2:18">
      <c r="B12" s="18" t="s">
        <v>219</v>
      </c>
      <c r="C12" s="18"/>
      <c r="I12" t="s">
        <v>203</v>
      </c>
    </row>
    <row r="13" spans="2:18">
      <c r="B13" s="18" t="s">
        <v>220</v>
      </c>
      <c r="C13" s="18"/>
      <c r="I13" t="s">
        <v>221</v>
      </c>
    </row>
    <row r="14" spans="2:18">
      <c r="I14" t="s">
        <v>222</v>
      </c>
    </row>
    <row r="15" spans="2:18">
      <c r="I15" t="s">
        <v>223</v>
      </c>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defaultColWidth="11.42578125" defaultRowHeight="15"/>
  <sheetData>
    <row r="2" spans="2:2">
      <c r="B2" t="s">
        <v>224</v>
      </c>
    </row>
    <row r="30" spans="2:2">
      <c r="B30" t="s">
        <v>225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1" workbookViewId="0">
      <selection activeCell="J16" sqref="J16"/>
    </sheetView>
  </sheetViews>
  <sheetFormatPr defaultColWidth="11.42578125" defaultRowHeight="15"/>
  <cols>
    <col min="3" max="3" width="119" customWidth="1"/>
    <col min="4" max="4" width="33.140625" customWidth="1"/>
  </cols>
  <sheetData>
    <row r="1" spans="3:4" ht="15.75" thickBot="1"/>
    <row r="2" spans="3:4">
      <c r="C2" s="384" t="s">
        <v>226</v>
      </c>
      <c r="D2" s="385"/>
    </row>
    <row r="3" spans="3:4">
      <c r="C3" s="386"/>
      <c r="D3" s="387"/>
    </row>
    <row r="4" spans="3:4" ht="15.75" thickBot="1">
      <c r="C4" s="158" t="s">
        <v>227</v>
      </c>
      <c r="D4" s="159" t="s">
        <v>228</v>
      </c>
    </row>
    <row r="5" spans="3:4" ht="30" customHeight="1">
      <c r="C5" s="160" t="s">
        <v>229</v>
      </c>
      <c r="D5" s="161">
        <v>1</v>
      </c>
    </row>
    <row r="6" spans="3:4" ht="28.5" customHeight="1">
      <c r="C6" s="162" t="s">
        <v>230</v>
      </c>
      <c r="D6" s="163">
        <v>1</v>
      </c>
    </row>
    <row r="7" spans="3:4" ht="28.5" customHeight="1">
      <c r="C7" s="164" t="s">
        <v>231</v>
      </c>
      <c r="D7" s="163">
        <v>1</v>
      </c>
    </row>
    <row r="8" spans="3:4" ht="28.5" customHeight="1">
      <c r="C8" s="164" t="s">
        <v>232</v>
      </c>
      <c r="D8" s="163">
        <v>1</v>
      </c>
    </row>
    <row r="9" spans="3:4" ht="18.600000000000001" customHeight="1">
      <c r="C9" s="164" t="s">
        <v>233</v>
      </c>
      <c r="D9" s="163">
        <v>1</v>
      </c>
    </row>
    <row r="10" spans="3:4" ht="28.5" customHeight="1">
      <c r="C10" s="164" t="s">
        <v>234</v>
      </c>
      <c r="D10" s="163">
        <v>1</v>
      </c>
    </row>
    <row r="11" spans="3:4" ht="21" customHeight="1">
      <c r="C11" s="162" t="s">
        <v>235</v>
      </c>
      <c r="D11" s="163">
        <v>1</v>
      </c>
    </row>
    <row r="12" spans="3:4" ht="21" customHeight="1">
      <c r="C12" s="162" t="s">
        <v>236</v>
      </c>
      <c r="D12" s="163">
        <v>1</v>
      </c>
    </row>
    <row r="13" spans="3:4" ht="21.6" customHeight="1">
      <c r="C13" s="162" t="s">
        <v>237</v>
      </c>
      <c r="D13" s="163">
        <v>1</v>
      </c>
    </row>
    <row r="14" spans="3:4" ht="28.5" customHeight="1">
      <c r="C14" s="162" t="s">
        <v>238</v>
      </c>
      <c r="D14" s="163">
        <v>1</v>
      </c>
    </row>
    <row r="15" spans="3:4" ht="22.5" customHeight="1">
      <c r="C15" s="165"/>
      <c r="D15" s="163">
        <v>1</v>
      </c>
    </row>
    <row r="16" spans="3:4" ht="28.5" customHeight="1">
      <c r="C16" s="166" t="s">
        <v>239</v>
      </c>
      <c r="D16" s="167"/>
    </row>
    <row r="17" spans="3:4" ht="28.5" customHeight="1">
      <c r="C17" s="160" t="s">
        <v>240</v>
      </c>
      <c r="D17" s="163">
        <v>1</v>
      </c>
    </row>
    <row r="18" spans="3:4" ht="28.5" customHeight="1">
      <c r="C18" s="160" t="s">
        <v>241</v>
      </c>
      <c r="D18" s="163">
        <v>1</v>
      </c>
    </row>
    <row r="19" spans="3:4" ht="28.5" customHeight="1">
      <c r="C19" s="160" t="s">
        <v>242</v>
      </c>
      <c r="D19" s="163">
        <v>1</v>
      </c>
    </row>
    <row r="20" spans="3:4" ht="28.5" customHeight="1">
      <c r="C20" s="162" t="s">
        <v>243</v>
      </c>
      <c r="D20" s="163">
        <v>1</v>
      </c>
    </row>
    <row r="21" spans="3:4" ht="28.5" customHeight="1">
      <c r="C21" s="160" t="s">
        <v>244</v>
      </c>
      <c r="D21" s="163">
        <v>1</v>
      </c>
    </row>
    <row r="22" spans="3:4" ht="28.5" customHeight="1">
      <c r="C22" s="168" t="s">
        <v>245</v>
      </c>
      <c r="D22" s="163">
        <v>1</v>
      </c>
    </row>
    <row r="23" spans="3:4" ht="28.5" customHeight="1">
      <c r="C23" s="160" t="s">
        <v>246</v>
      </c>
      <c r="D23" s="163">
        <v>1</v>
      </c>
    </row>
    <row r="24" spans="3:4" ht="28.5" customHeight="1">
      <c r="C24" s="160" t="s">
        <v>247</v>
      </c>
      <c r="D24" s="163">
        <v>1</v>
      </c>
    </row>
    <row r="25" spans="3:4" ht="28.5" customHeight="1">
      <c r="C25" s="165"/>
      <c r="D25" s="163">
        <v>1</v>
      </c>
    </row>
    <row r="26" spans="3:4" ht="28.5" customHeight="1">
      <c r="C26" s="165"/>
      <c r="D26" s="163">
        <v>1</v>
      </c>
    </row>
    <row r="27" spans="3:4" ht="28.5" customHeight="1">
      <c r="C27" s="166" t="s">
        <v>248</v>
      </c>
      <c r="D27" s="169"/>
    </row>
    <row r="28" spans="3:4" ht="28.5" customHeight="1">
      <c r="C28" s="164" t="s">
        <v>249</v>
      </c>
      <c r="D28" s="163">
        <v>1</v>
      </c>
    </row>
    <row r="29" spans="3:4" ht="28.5" customHeight="1">
      <c r="C29" s="164" t="s">
        <v>250</v>
      </c>
      <c r="D29" s="163">
        <v>1</v>
      </c>
    </row>
    <row r="30" spans="3:4" ht="28.5" customHeight="1">
      <c r="C30" s="164" t="s">
        <v>251</v>
      </c>
      <c r="D30" s="163">
        <v>1</v>
      </c>
    </row>
    <row r="31" spans="3:4" ht="28.5" customHeight="1">
      <c r="C31" s="164" t="s">
        <v>252</v>
      </c>
      <c r="D31" s="163">
        <v>1</v>
      </c>
    </row>
    <row r="32" spans="3:4" ht="28.5" customHeight="1">
      <c r="C32" s="164" t="s">
        <v>253</v>
      </c>
      <c r="D32" s="163">
        <v>1</v>
      </c>
    </row>
    <row r="33" spans="3:4" ht="28.5" customHeight="1">
      <c r="C33" s="170" t="s">
        <v>254</v>
      </c>
      <c r="D33" s="163">
        <v>1</v>
      </c>
    </row>
    <row r="34" spans="3:4" ht="28.5" customHeight="1">
      <c r="C34" s="162" t="s">
        <v>255</v>
      </c>
      <c r="D34" s="163">
        <v>1</v>
      </c>
    </row>
    <row r="35" spans="3:4" ht="28.5" customHeight="1">
      <c r="C35" s="164" t="s">
        <v>256</v>
      </c>
      <c r="D35" s="163">
        <v>1</v>
      </c>
    </row>
    <row r="36" spans="3:4" ht="28.5" customHeight="1">
      <c r="C36" s="164" t="s">
        <v>257</v>
      </c>
      <c r="D36" s="163">
        <v>1</v>
      </c>
    </row>
    <row r="37" spans="3:4" ht="28.5" customHeight="1">
      <c r="C37" s="164" t="s">
        <v>258</v>
      </c>
      <c r="D37" s="163">
        <v>1</v>
      </c>
    </row>
    <row r="38" spans="3:4" ht="28.5" customHeight="1">
      <c r="C38" s="162" t="s">
        <v>259</v>
      </c>
      <c r="D38" s="163">
        <v>1</v>
      </c>
    </row>
    <row r="39" spans="3:4" ht="28.5" customHeight="1">
      <c r="C39" s="170" t="s">
        <v>260</v>
      </c>
      <c r="D39" s="163">
        <v>1</v>
      </c>
    </row>
    <row r="40" spans="3:4" ht="28.5" customHeight="1">
      <c r="C40" s="170" t="s">
        <v>261</v>
      </c>
      <c r="D40" s="163">
        <v>1</v>
      </c>
    </row>
    <row r="41" spans="3:4" ht="28.5" customHeight="1">
      <c r="C41" s="170" t="s">
        <v>262</v>
      </c>
      <c r="D41" s="163">
        <v>1</v>
      </c>
    </row>
    <row r="42" spans="3:4" ht="28.5" customHeight="1">
      <c r="C42" s="170" t="s">
        <v>263</v>
      </c>
      <c r="D42" s="163">
        <v>1</v>
      </c>
    </row>
    <row r="43" spans="3:4" ht="28.5" customHeight="1">
      <c r="C43" s="171"/>
      <c r="D43" s="163"/>
    </row>
    <row r="44" spans="3:4" ht="28.5" customHeight="1">
      <c r="C44" s="171"/>
      <c r="D44" s="163"/>
    </row>
    <row r="45" spans="3:4" ht="28.5" customHeight="1">
      <c r="C45" s="166" t="s">
        <v>264</v>
      </c>
      <c r="D45" s="169"/>
    </row>
    <row r="46" spans="3:4" ht="28.5" customHeight="1">
      <c r="C46" s="170" t="s">
        <v>265</v>
      </c>
      <c r="D46" s="163">
        <v>1</v>
      </c>
    </row>
    <row r="47" spans="3:4" ht="28.5" customHeight="1">
      <c r="C47" s="170" t="s">
        <v>266</v>
      </c>
      <c r="D47" s="163">
        <v>1</v>
      </c>
    </row>
    <row r="48" spans="3:4" ht="28.5" customHeight="1">
      <c r="C48" s="170" t="s">
        <v>267</v>
      </c>
      <c r="D48" s="163">
        <v>1</v>
      </c>
    </row>
    <row r="49" spans="3:4" ht="28.5" customHeight="1">
      <c r="C49" s="170" t="s">
        <v>268</v>
      </c>
      <c r="D49" s="163">
        <v>1</v>
      </c>
    </row>
    <row r="50" spans="3:4" ht="28.5" customHeight="1">
      <c r="C50" s="172" t="s">
        <v>269</v>
      </c>
      <c r="D50" s="163">
        <v>1</v>
      </c>
    </row>
    <row r="51" spans="3:4" ht="28.5" customHeight="1">
      <c r="C51" s="172" t="s">
        <v>270</v>
      </c>
      <c r="D51" s="163">
        <v>1</v>
      </c>
    </row>
    <row r="52" spans="3:4" ht="28.5" customHeight="1">
      <c r="C52" s="172" t="s">
        <v>271</v>
      </c>
      <c r="D52" s="163">
        <v>1</v>
      </c>
    </row>
    <row r="53" spans="3:4" ht="28.5" customHeight="1">
      <c r="C53" s="160" t="s">
        <v>272</v>
      </c>
      <c r="D53" s="163">
        <v>1</v>
      </c>
    </row>
    <row r="54" spans="3:4" ht="28.5" customHeight="1">
      <c r="C54" s="160" t="s">
        <v>273</v>
      </c>
      <c r="D54" s="163">
        <v>1</v>
      </c>
    </row>
    <row r="55" spans="3:4" ht="28.5" customHeight="1"/>
    <row r="56" spans="3:4" ht="11.1" customHeight="1"/>
    <row r="57" spans="3:4" ht="11.1" customHeight="1"/>
    <row r="58" spans="3:4" ht="11.1" customHeight="1"/>
    <row r="59" spans="3:4" ht="11.1" customHeight="1"/>
    <row r="60" spans="3:4" ht="11.1" customHeight="1"/>
    <row r="61" spans="3:4" ht="11.1" customHeight="1"/>
    <row r="62" spans="3:4" ht="11.1" customHeight="1"/>
    <row r="63" spans="3:4" ht="11.1" customHeight="1"/>
    <row r="64" spans="3: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27" activePane="bottomLeft" state="frozen"/>
      <selection pane="bottomLeft"/>
    </sheetView>
  </sheetViews>
  <sheetFormatPr defaultColWidth="11.42578125" defaultRowHeight="15"/>
  <cols>
    <col min="1" max="1" width="5.28515625" customWidth="1"/>
    <col min="2" max="2" width="8.85546875" customWidth="1"/>
    <col min="3" max="3" width="9" customWidth="1"/>
    <col min="4" max="41" width="5.7109375" customWidth="1"/>
    <col min="43" max="48" width="5.7109375" customWidth="1"/>
  </cols>
  <sheetData>
    <row r="1" spans="1:101" ht="15.75" thickBot="1"/>
    <row r="2" spans="1:101" ht="15" customHeight="1">
      <c r="D2" s="400" t="s">
        <v>274</v>
      </c>
      <c r="E2" s="401"/>
      <c r="F2" s="401"/>
      <c r="G2" s="401"/>
      <c r="H2" s="401"/>
      <c r="I2" s="401"/>
      <c r="J2" s="401"/>
      <c r="K2" s="402"/>
      <c r="L2" s="391" t="s">
        <v>1</v>
      </c>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3"/>
      <c r="AP2" s="291" t="s">
        <v>275</v>
      </c>
      <c r="AQ2" s="388"/>
      <c r="AR2" s="388"/>
      <c r="AS2" s="388"/>
      <c r="AT2" s="388"/>
      <c r="AU2" s="388"/>
      <c r="AV2" s="265"/>
    </row>
    <row r="3" spans="1:101">
      <c r="D3" s="403"/>
      <c r="E3" s="404"/>
      <c r="F3" s="404"/>
      <c r="G3" s="404"/>
      <c r="H3" s="404"/>
      <c r="I3" s="404"/>
      <c r="J3" s="404"/>
      <c r="K3" s="405"/>
      <c r="L3" s="394"/>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6"/>
      <c r="AP3" s="292" t="s">
        <v>4</v>
      </c>
      <c r="AQ3" s="389"/>
      <c r="AR3" s="389"/>
      <c r="AS3" s="389"/>
      <c r="AT3" s="389"/>
      <c r="AU3" s="389"/>
      <c r="AV3" s="267"/>
    </row>
    <row r="4" spans="1:101">
      <c r="D4" s="403"/>
      <c r="E4" s="404"/>
      <c r="F4" s="404"/>
      <c r="G4" s="404"/>
      <c r="H4" s="404"/>
      <c r="I4" s="404"/>
      <c r="J4" s="404"/>
      <c r="K4" s="405"/>
      <c r="L4" s="394"/>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6"/>
      <c r="AP4" s="292" t="s">
        <v>5</v>
      </c>
      <c r="AQ4" s="389" t="s">
        <v>276</v>
      </c>
      <c r="AR4" s="389"/>
      <c r="AS4" s="389"/>
      <c r="AT4" s="389"/>
      <c r="AU4" s="389"/>
      <c r="AV4" s="267"/>
    </row>
    <row r="5" spans="1:101" ht="15.75" thickBot="1">
      <c r="D5" s="406"/>
      <c r="E5" s="407"/>
      <c r="F5" s="407"/>
      <c r="G5" s="407"/>
      <c r="H5" s="407"/>
      <c r="I5" s="407"/>
      <c r="J5" s="407"/>
      <c r="K5" s="408"/>
      <c r="L5" s="397"/>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9"/>
      <c r="AP5" s="293" t="s">
        <v>6</v>
      </c>
      <c r="AQ5" s="390" t="s">
        <v>6</v>
      </c>
      <c r="AR5" s="390"/>
      <c r="AS5" s="390"/>
      <c r="AT5" s="390"/>
      <c r="AU5" s="390"/>
      <c r="AV5" s="269"/>
    </row>
    <row r="7" spans="1:101" ht="18" customHeight="1">
      <c r="C7" s="69"/>
      <c r="D7" s="497" t="s">
        <v>277</v>
      </c>
      <c r="E7" s="497"/>
      <c r="F7" s="497"/>
      <c r="G7" s="497"/>
      <c r="H7" s="497"/>
      <c r="I7" s="497"/>
      <c r="J7" s="497"/>
      <c r="K7" s="497"/>
      <c r="L7" s="453" t="s">
        <v>59</v>
      </c>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c r="A8" s="495" t="s">
        <v>11</v>
      </c>
      <c r="B8" s="495"/>
      <c r="C8" s="496"/>
      <c r="D8" s="497"/>
      <c r="E8" s="497"/>
      <c r="F8" s="497"/>
      <c r="G8" s="497"/>
      <c r="H8" s="497"/>
      <c r="I8" s="497"/>
      <c r="J8" s="497"/>
      <c r="K8" s="497"/>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c r="C9" s="69"/>
      <c r="D9" s="497"/>
      <c r="E9" s="497"/>
      <c r="F9" s="497"/>
      <c r="G9" s="497"/>
      <c r="H9" s="497"/>
      <c r="I9" s="497"/>
      <c r="J9" s="497"/>
      <c r="K9" s="497"/>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c r="C11" s="69"/>
      <c r="D11" s="409" t="s">
        <v>278</v>
      </c>
      <c r="E11" s="409"/>
      <c r="F11" s="410"/>
      <c r="G11" s="447" t="s">
        <v>279</v>
      </c>
      <c r="H11" s="448"/>
      <c r="I11" s="448"/>
      <c r="J11" s="448"/>
      <c r="K11" s="448"/>
      <c r="L11" s="456" t="str">
        <f>IF(AND('Mapa final'!$S$15="Muy Alta",'Mapa final'!$W$15="Leve"),CONCATENATE("R",'Mapa final'!$A$15),"")</f>
        <v/>
      </c>
      <c r="M11" s="457"/>
      <c r="N11" s="457" t="str">
        <f>IF(AND('Mapa final'!$S$15="Muy Alta",'Mapa final'!$W$15="Leve"),CONCATENATE("R",'Mapa final'!$A$15),"")</f>
        <v/>
      </c>
      <c r="O11" s="457"/>
      <c r="P11" s="457" t="str">
        <f>IF(AND('Mapa final'!$S$15="Muy Alta",'Mapa final'!$W$15="Leve"),CONCATENATE("R",'Mapa final'!$A$15),"")</f>
        <v/>
      </c>
      <c r="Q11" s="466"/>
      <c r="R11" s="456" t="str">
        <f>IF(AND('Mapa final'!$S$15="Muy Alta",'Mapa final'!$W$15="Menor"),CONCATENATE("R",'Mapa final'!$A$15),"")</f>
        <v/>
      </c>
      <c r="S11" s="457"/>
      <c r="T11" s="457" t="str">
        <f>IF(AND('Mapa final'!$S$16="Muy Alta",'Mapa final'!$W$16="Menor"),CONCATENATE("R",'Mapa final'!$A$16),"")</f>
        <v/>
      </c>
      <c r="U11" s="457"/>
      <c r="V11" s="457" t="str">
        <f>IF(AND('Mapa final'!$S$18="Muy Alta",'Mapa final'!$W$18="Menor"),CONCATENATE("R",'Mapa final'!$A$18),"")</f>
        <v/>
      </c>
      <c r="W11" s="466"/>
      <c r="X11" s="456" t="str">
        <f>IF(AND('Mapa final'!$S$15="Muy Alta",'Mapa final'!$W$15="Moderado"),CONCATENATE("R",'Mapa final'!$A$15),"")</f>
        <v/>
      </c>
      <c r="Y11" s="457"/>
      <c r="Z11" s="457" t="str">
        <f>IF(AND('Mapa final'!S$16="Muy Alta",'Mapa final'!$W$16="Moderado"),CONCATENATE("R",'Mapa final'!$A$16),"")</f>
        <v/>
      </c>
      <c r="AA11" s="457"/>
      <c r="AB11" s="457" t="str">
        <f>IF(AND('Mapa final'!$S$18="Muy Alta",'Mapa final'!$W$18="Moderado"),CONCATENATE("R",'Mapa final'!$A$18),"")</f>
        <v/>
      </c>
      <c r="AC11" s="466"/>
      <c r="AD11" s="456" t="str">
        <f>IF(AND('Mapa final'!$S$15="Muy Alta",'Mapa final'!$W$15="Mayor"),CONCATENATE("R",'Mapa final'!$A$15),"")</f>
        <v/>
      </c>
      <c r="AE11" s="457"/>
      <c r="AF11" s="457" t="str">
        <f>IF(AND('Mapa final'!$S$16="Muy Alta",'Mapa final'!$W$16="Mayor"),CONCATENATE("R",'Mapa final'!$A$16),"")</f>
        <v/>
      </c>
      <c r="AG11" s="457"/>
      <c r="AH11" s="457" t="str">
        <f>IF(AND('Mapa final'!$S$18="Muy Alta",'Mapa final'!$W$18="Mayor"),CONCATENATE("R",'Mapa final'!$A$18),"")</f>
        <v/>
      </c>
      <c r="AI11" s="466"/>
      <c r="AJ11" s="476" t="str">
        <f>IF(AND('Mapa final'!$S$15="Muy Alta",'Mapa final'!$W$15="Catastrófico"),CONCATENATE("R",'Mapa final'!$A$15),"")</f>
        <v/>
      </c>
      <c r="AK11" s="477"/>
      <c r="AL11" s="477" t="str">
        <f>IF(AND('Mapa final'!$S$16="Muy Alta",'Mapa final'!$W$16="Catastrófico"),CONCATENATE("R",'Mapa final'!$A$16),"")</f>
        <v/>
      </c>
      <c r="AM11" s="477"/>
      <c r="AN11" s="477" t="str">
        <f>IF(AND('Mapa final'!$S$18="Muy Alta",'Mapa final'!$N$18="Catastrófico"),CONCATENATE("R",'Mapa final'!$A$18),"")</f>
        <v/>
      </c>
      <c r="AO11" s="478"/>
      <c r="AQ11" s="411" t="s">
        <v>280</v>
      </c>
      <c r="AR11" s="412"/>
      <c r="AS11" s="412"/>
      <c r="AT11" s="412"/>
      <c r="AU11" s="412"/>
      <c r="AV11" s="413"/>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c r="C12" s="69"/>
      <c r="D12" s="409"/>
      <c r="E12" s="409"/>
      <c r="F12" s="410"/>
      <c r="G12" s="449"/>
      <c r="H12" s="450"/>
      <c r="I12" s="450"/>
      <c r="J12" s="450"/>
      <c r="K12" s="450"/>
      <c r="L12" s="458"/>
      <c r="M12" s="454"/>
      <c r="N12" s="454"/>
      <c r="O12" s="454"/>
      <c r="P12" s="454"/>
      <c r="Q12" s="455"/>
      <c r="R12" s="458"/>
      <c r="S12" s="454"/>
      <c r="T12" s="454"/>
      <c r="U12" s="454"/>
      <c r="V12" s="454"/>
      <c r="W12" s="455"/>
      <c r="X12" s="458"/>
      <c r="Y12" s="454"/>
      <c r="Z12" s="454"/>
      <c r="AA12" s="454"/>
      <c r="AB12" s="454"/>
      <c r="AC12" s="455"/>
      <c r="AD12" s="458"/>
      <c r="AE12" s="454"/>
      <c r="AF12" s="454"/>
      <c r="AG12" s="454"/>
      <c r="AH12" s="454"/>
      <c r="AI12" s="455"/>
      <c r="AJ12" s="470"/>
      <c r="AK12" s="471"/>
      <c r="AL12" s="471"/>
      <c r="AM12" s="471"/>
      <c r="AN12" s="471"/>
      <c r="AO12" s="472"/>
      <c r="AP12" s="69"/>
      <c r="AQ12" s="414"/>
      <c r="AR12" s="415"/>
      <c r="AS12" s="415"/>
      <c r="AT12" s="415"/>
      <c r="AU12" s="415"/>
      <c r="AV12" s="416"/>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c r="C13" s="69"/>
      <c r="D13" s="409"/>
      <c r="E13" s="409"/>
      <c r="F13" s="410"/>
      <c r="G13" s="449"/>
      <c r="H13" s="450"/>
      <c r="I13" s="450"/>
      <c r="J13" s="450"/>
      <c r="K13" s="450"/>
      <c r="L13" s="458" t="str">
        <f>IF(AND('Mapa final'!$S$15="Muy Alta",'Mapa final'!$W$15="Leve"),CONCATENATE("R",'Mapa final'!$A$15),"")</f>
        <v/>
      </c>
      <c r="M13" s="454"/>
      <c r="N13" s="454" t="str">
        <f>IF(AND('Mapa final'!$S$15="Muy Alta",'Mapa final'!$W$15="Leve"),CONCATENATE("R",'Mapa final'!$A$15),"")</f>
        <v/>
      </c>
      <c r="O13" s="454"/>
      <c r="P13" s="454" t="str">
        <f>IF(AND('Mapa final'!$S$15="Muy Alta",'Mapa final'!$W$15="Leve"),CONCATENATE("R",'Mapa final'!$A$15),"")</f>
        <v/>
      </c>
      <c r="Q13" s="455"/>
      <c r="R13" s="458" t="str">
        <f>IF(AND('Mapa final'!$S$17="Muy Alta",'Mapa final'!$W$17="Menor"),CONCATENATE("R",'Mapa final'!$A$17),"")</f>
        <v/>
      </c>
      <c r="S13" s="454"/>
      <c r="T13" s="454" t="str">
        <f>IF(AND('Mapa final'!$LU$22="Muy Alta",'Mapa final'!$W$22="Menor"),CONCATENATE("R",'Mapa final'!$A$22),"")</f>
        <v/>
      </c>
      <c r="U13" s="454"/>
      <c r="V13" s="454" t="str">
        <f>IF(AND('Mapa final'!$S$18="Muy Alta",'Mapa final'!$W$18="Menor"),CONCATENATE("R",'Mapa final'!$A$18),"")</f>
        <v/>
      </c>
      <c r="W13" s="455"/>
      <c r="X13" s="458" t="str">
        <f>IF(AND('Mapa final'!$S$17="Muy Alta",'Mapa final'!$W$17="Moderado"),CONCATENATE("R",'Mapa final'!$A$17),"")</f>
        <v/>
      </c>
      <c r="Y13" s="454"/>
      <c r="Z13" s="454" t="str">
        <f>IF(AND('Mapa final'!$S$22="Muy Alta",'Mapa final'!$W$22="Moderado"),CONCATENATE("R",'Mapa final'!$A$22),"")</f>
        <v/>
      </c>
      <c r="AA13" s="454"/>
      <c r="AB13" s="454" t="str">
        <f>IF(AND('Mapa final'!$S$18="Muy Alta",'Mapa final'!$W$18="Moderado"),CONCATENATE("R",'Mapa final'!$A$18),"")</f>
        <v/>
      </c>
      <c r="AC13" s="455"/>
      <c r="AD13" s="458" t="str">
        <f>IF(AND('Mapa final'!$S$17="Muy Alta",'Mapa final'!$W$17="Mayor"),CONCATENATE("R",'Mapa final'!$A$17),"")</f>
        <v/>
      </c>
      <c r="AE13" s="454"/>
      <c r="AF13" s="454" t="str">
        <f>IF(AND('Mapa final'!$S$22="Muy Alta",'Mapa final'!$W$22="Mayor"),CONCATENATE("R",'Mapa final'!$A$22),"")</f>
        <v/>
      </c>
      <c r="AG13" s="454"/>
      <c r="AH13" s="454" t="str">
        <f>IF(AND('Mapa final'!$S$18="Muy Alta",'Mapa final'!$W$18="Mayor"),CONCATENATE("R",'Mapa final'!$A$18),"")</f>
        <v/>
      </c>
      <c r="AI13" s="455"/>
      <c r="AJ13" s="470" t="str">
        <f>IF(AND('Mapa final'!$S$17="Muy Alta",'Mapa final'!$W$17="Catastrófico"),CONCATENATE("R",'Mapa final'!$A$17),"")</f>
        <v/>
      </c>
      <c r="AK13" s="471"/>
      <c r="AL13" s="471" t="str">
        <f>IF(AND('Mapa final'!$S$22="Muy Alta",'Mapa final'!$W$22="Catastrófico"),CONCATENATE("R",'Mapa final'!$A$22),"")</f>
        <v/>
      </c>
      <c r="AM13" s="471"/>
      <c r="AN13" s="471" t="str">
        <f>IF(AND('Mapa final'!$S$18="Muy Alta",'Mapa final'!$N$18="Catastrófico"),CONCATENATE("R",'Mapa final'!$A$18),"")</f>
        <v/>
      </c>
      <c r="AO13" s="472"/>
      <c r="AP13" s="69"/>
      <c r="AQ13" s="414"/>
      <c r="AR13" s="415"/>
      <c r="AS13" s="415"/>
      <c r="AT13" s="415"/>
      <c r="AU13" s="415"/>
      <c r="AV13" s="416"/>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c r="C14" s="69"/>
      <c r="D14" s="409"/>
      <c r="E14" s="409"/>
      <c r="F14" s="410"/>
      <c r="G14" s="449"/>
      <c r="H14" s="450"/>
      <c r="I14" s="450"/>
      <c r="J14" s="450"/>
      <c r="K14" s="450"/>
      <c r="L14" s="458"/>
      <c r="M14" s="454"/>
      <c r="N14" s="454"/>
      <c r="O14" s="454"/>
      <c r="P14" s="454"/>
      <c r="Q14" s="455"/>
      <c r="R14" s="458"/>
      <c r="S14" s="454"/>
      <c r="T14" s="454"/>
      <c r="U14" s="454"/>
      <c r="V14" s="454"/>
      <c r="W14" s="455"/>
      <c r="X14" s="458"/>
      <c r="Y14" s="454"/>
      <c r="Z14" s="454"/>
      <c r="AA14" s="454"/>
      <c r="AB14" s="454"/>
      <c r="AC14" s="455"/>
      <c r="AD14" s="458"/>
      <c r="AE14" s="454"/>
      <c r="AF14" s="454"/>
      <c r="AG14" s="454"/>
      <c r="AH14" s="454"/>
      <c r="AI14" s="455"/>
      <c r="AJ14" s="470"/>
      <c r="AK14" s="471"/>
      <c r="AL14" s="471"/>
      <c r="AM14" s="471"/>
      <c r="AN14" s="471"/>
      <c r="AO14" s="472"/>
      <c r="AP14" s="69"/>
      <c r="AQ14" s="414"/>
      <c r="AR14" s="415"/>
      <c r="AS14" s="415"/>
      <c r="AT14" s="415"/>
      <c r="AU14" s="415"/>
      <c r="AV14" s="416"/>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c r="C15" s="69"/>
      <c r="D15" s="409"/>
      <c r="E15" s="409"/>
      <c r="F15" s="410"/>
      <c r="G15" s="449"/>
      <c r="H15" s="450"/>
      <c r="I15" s="450"/>
      <c r="J15" s="450"/>
      <c r="K15" s="450"/>
      <c r="L15" s="458" t="str">
        <f>IF(AND('Mapa final'!$S$15="Muy Alta",'Mapa final'!$W$15="Leve"),CONCATENATE("R",'Mapa final'!$A$15),"")</f>
        <v/>
      </c>
      <c r="M15" s="454"/>
      <c r="N15" s="454" t="str">
        <f>IF(AND('Mapa final'!$S$15="Muy Alta",'Mapa final'!$W$15="Leve"),CONCATENATE("R",'Mapa final'!$A$15),"")</f>
        <v/>
      </c>
      <c r="O15" s="454"/>
      <c r="P15" s="454" t="str">
        <f>IF(AND('Mapa final'!$S$15="Muy Alta",'Mapa final'!$W$15="Leve"),CONCATENATE("R",'Mapa final'!$A$15),"")</f>
        <v/>
      </c>
      <c r="Q15" s="455"/>
      <c r="R15" s="458" t="str">
        <f>IF(AND('Mapa final'!$S$21="Muy Alta",'Mapa final'!$W$21="Menor"),CONCATENATE("R",'Mapa final'!$A$21),"")</f>
        <v/>
      </c>
      <c r="S15" s="454"/>
      <c r="T15" s="454" t="str">
        <f>IF(AND('Mapa final'!$LU$22="Muy Alta",'Mapa final'!$W$22="Menor"),CONCATENATE("R",'Mapa final'!$A$22),"")</f>
        <v/>
      </c>
      <c r="U15" s="454"/>
      <c r="V15" s="454" t="str">
        <f>IF(AND('Mapa final'!$S$23="Muy Alta",'Mapa final'!$W$23="Menor"),CONCATENATE("R",'Mapa final'!$A$23),"")</f>
        <v/>
      </c>
      <c r="W15" s="455"/>
      <c r="X15" s="458" t="str">
        <f>IF(AND('Mapa final'!$S$21="Muy Alta",'Mapa final'!$W$21="Moderado"),CONCATENATE("R",'Mapa final'!$A$21),"")</f>
        <v/>
      </c>
      <c r="Y15" s="454"/>
      <c r="Z15" s="454" t="str">
        <f>IF(AND('Mapa final'!$S$22="Muy Alta",'Mapa final'!$W$22="Moderado"),CONCATENATE("R",'Mapa final'!$A$22),"")</f>
        <v/>
      </c>
      <c r="AA15" s="454"/>
      <c r="AB15" s="454" t="str">
        <f>IF(AND('Mapa final'!$S$23="Muy Alta",'Mapa final'!$W$23="Moderado"),CONCATENATE("R",'Mapa final'!$A$23),"")</f>
        <v/>
      </c>
      <c r="AC15" s="455"/>
      <c r="AD15" s="458" t="str">
        <f>IF(AND('Mapa final'!$S$21="Muy Alta",'Mapa final'!$W$21="Mayor"),CONCATENATE("R",'Mapa final'!$A$21),"")</f>
        <v/>
      </c>
      <c r="AE15" s="454"/>
      <c r="AF15" s="454" t="str">
        <f>IF(AND('Mapa final'!$S$22="Muy Alta",'Mapa final'!$W$22="Mayor"),CONCATENATE("R",'Mapa final'!$A$22),"")</f>
        <v/>
      </c>
      <c r="AG15" s="454"/>
      <c r="AH15" s="454" t="str">
        <f>IF(AND('Mapa final'!$S$23="Muy Alta",'Mapa final'!$W$23="Mayor"),CONCATENATE("R",'Mapa final'!$A$23),"")</f>
        <v/>
      </c>
      <c r="AI15" s="455"/>
      <c r="AJ15" s="470" t="str">
        <f>IF(AND('Mapa final'!$S$21="Muy Alta",'Mapa final'!$W$21="Catastrófico"),CONCATENATE("R",'Mapa final'!$A$21),"")</f>
        <v/>
      </c>
      <c r="AK15" s="471"/>
      <c r="AL15" s="471" t="str">
        <f>IF(AND('Mapa final'!$S$22="Muy Alta",'Mapa final'!$W$22="Catastrófico"),CONCATENATE("R",'Mapa final'!$A$22),"")</f>
        <v/>
      </c>
      <c r="AM15" s="471"/>
      <c r="AN15" s="471" t="str">
        <f>IF(AND('Mapa final'!$S$23="Muy Alta",'Mapa final'!$W$23="Catastrófico"),CONCATENATE("R",'Mapa final'!$A$23),"")</f>
        <v/>
      </c>
      <c r="AO15" s="472"/>
      <c r="AP15" s="69"/>
      <c r="AQ15" s="414"/>
      <c r="AR15" s="415"/>
      <c r="AS15" s="415"/>
      <c r="AT15" s="415"/>
      <c r="AU15" s="415"/>
      <c r="AV15" s="416"/>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c r="C16" s="69"/>
      <c r="D16" s="409"/>
      <c r="E16" s="409"/>
      <c r="F16" s="410"/>
      <c r="G16" s="449"/>
      <c r="H16" s="450"/>
      <c r="I16" s="450"/>
      <c r="J16" s="450"/>
      <c r="K16" s="450"/>
      <c r="L16" s="458"/>
      <c r="M16" s="454"/>
      <c r="N16" s="454"/>
      <c r="O16" s="454"/>
      <c r="P16" s="454"/>
      <c r="Q16" s="455"/>
      <c r="R16" s="458"/>
      <c r="S16" s="454"/>
      <c r="T16" s="454"/>
      <c r="U16" s="454"/>
      <c r="V16" s="454"/>
      <c r="W16" s="455"/>
      <c r="X16" s="458"/>
      <c r="Y16" s="454"/>
      <c r="Z16" s="454"/>
      <c r="AA16" s="454"/>
      <c r="AB16" s="454"/>
      <c r="AC16" s="455"/>
      <c r="AD16" s="458"/>
      <c r="AE16" s="454"/>
      <c r="AF16" s="454"/>
      <c r="AG16" s="454"/>
      <c r="AH16" s="454"/>
      <c r="AI16" s="455"/>
      <c r="AJ16" s="470"/>
      <c r="AK16" s="471"/>
      <c r="AL16" s="471"/>
      <c r="AM16" s="471"/>
      <c r="AN16" s="471"/>
      <c r="AO16" s="472"/>
      <c r="AP16" s="69"/>
      <c r="AQ16" s="414"/>
      <c r="AR16" s="415"/>
      <c r="AS16" s="415"/>
      <c r="AT16" s="415"/>
      <c r="AU16" s="415"/>
      <c r="AV16" s="416"/>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c r="C17" s="69"/>
      <c r="D17" s="409"/>
      <c r="E17" s="409"/>
      <c r="F17" s="410"/>
      <c r="G17" s="449"/>
      <c r="H17" s="450"/>
      <c r="I17" s="450"/>
      <c r="J17" s="450"/>
      <c r="K17" s="450"/>
      <c r="L17" s="458" t="str">
        <f>IF(AND('Mapa final'!$S$15="Muy Alta",'Mapa final'!$W$15="Leve"),CONCATENATE("R",'Mapa final'!$A$15),"")</f>
        <v/>
      </c>
      <c r="M17" s="454"/>
      <c r="N17" s="454" t="str">
        <f>IF(AND('Mapa final'!$S$15="Muy Alta",'Mapa final'!$W$15="Leve"),CONCATENATE("R",'Mapa final'!$A$15),"")</f>
        <v/>
      </c>
      <c r="O17" s="454"/>
      <c r="P17" s="454" t="str">
        <f>IF(AND('Mapa final'!$S$15="Muy Alta",'Mapa final'!$W$15="Leve"),CONCATENATE("R",'Mapa final'!$A$15),"")</f>
        <v/>
      </c>
      <c r="Q17" s="455"/>
      <c r="R17" s="458" t="str">
        <f>IF(AND('Mapa final'!$S$24="Muy Alta",'Mapa final'!$W$24="Menor"),CONCATENATE("R",'Mapa final'!$A$24),"")</f>
        <v/>
      </c>
      <c r="S17" s="454"/>
      <c r="T17" s="454" t="str">
        <f>IF(AND('Mapa final'!$S$25="Muy Alta",'Mapa final'!$W$25="Menor"),CONCATENATE("R",'Mapa final'!$A$25),"")</f>
        <v/>
      </c>
      <c r="U17" s="454"/>
      <c r="V17" s="454" t="str">
        <f>IF(AND('Mapa final'!$S$26="Muy Alta",'Mapa final'!$W$26="Menor"),CONCATENATE("R",'Mapa final'!$A$26),"")</f>
        <v/>
      </c>
      <c r="W17" s="455"/>
      <c r="X17" s="458" t="str">
        <f>IF(AND('Mapa final'!$S$24="Muy Alta",'Mapa final'!$W$24="Moderado"),CONCATENATE("R",'Mapa final'!$A$24),"")</f>
        <v/>
      </c>
      <c r="Y17" s="454"/>
      <c r="Z17" s="454" t="str">
        <f>IF(AND('Mapa final'!$S$25="Muy Alta",'Mapa final'!$W$25="Moderado"),CONCATENATE("R",'Mapa final'!$A$25),"")</f>
        <v/>
      </c>
      <c r="AA17" s="454"/>
      <c r="AB17" s="454" t="str">
        <f>IF(AND('Mapa final'!$S$26="Muy Alta",'Mapa final'!$W$26="Moderado"),CONCATENATE("R",'Mapa final'!$A$26),"")</f>
        <v/>
      </c>
      <c r="AC17" s="455"/>
      <c r="AD17" s="458" t="str">
        <f>IF(AND('Mapa final'!$S$24="Muy Alta",'Mapa final'!$W$24="Mayor"),CONCATENATE("R",'Mapa final'!$A$24),"")</f>
        <v/>
      </c>
      <c r="AE17" s="454"/>
      <c r="AF17" s="454" t="str">
        <f>IF(AND('Mapa final'!$S$25="Muy Alta",'Mapa final'!$W$25="Mayor"),CONCATENATE("R",'Mapa final'!$A$25),"")</f>
        <v/>
      </c>
      <c r="AG17" s="454"/>
      <c r="AH17" s="454" t="str">
        <f>IF(AND('Mapa final'!$S$26="Muy Alta",'Mapa final'!$W$26="Mayor"),CONCATENATE("R",'Mapa final'!$A$26),"")</f>
        <v/>
      </c>
      <c r="AI17" s="455"/>
      <c r="AJ17" s="470" t="str">
        <f>IF(AND('Mapa final'!$S$24="Muy Alta",'Mapa final'!$W$24="Catastrófico"),CONCATENATE("R",'Mapa final'!$A$24),"")</f>
        <v/>
      </c>
      <c r="AK17" s="471"/>
      <c r="AL17" s="471" t="str">
        <f>IF(AND('Mapa final'!$S$25="Muy Alta",'Mapa final'!$W$25="Catastrófico"),CONCATENATE("R",'Mapa final'!$A$25),"")</f>
        <v/>
      </c>
      <c r="AM17" s="471"/>
      <c r="AN17" s="471" t="str">
        <f>IF(AND('Mapa final'!$S$26="Muy Alta",'Mapa final'!$W$26="Catastrófico"),CONCATENATE("R",'Mapa final'!$A$26),"")</f>
        <v/>
      </c>
      <c r="AO17" s="472"/>
      <c r="AP17" s="69"/>
      <c r="AQ17" s="414"/>
      <c r="AR17" s="415"/>
      <c r="AS17" s="415"/>
      <c r="AT17" s="415"/>
      <c r="AU17" s="415"/>
      <c r="AV17" s="416"/>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c r="C18" s="69"/>
      <c r="D18" s="409"/>
      <c r="E18" s="409"/>
      <c r="F18" s="410"/>
      <c r="G18" s="451"/>
      <c r="H18" s="452"/>
      <c r="I18" s="452"/>
      <c r="J18" s="452"/>
      <c r="K18" s="452"/>
      <c r="L18" s="459"/>
      <c r="M18" s="460"/>
      <c r="N18" s="460"/>
      <c r="O18" s="460"/>
      <c r="P18" s="460"/>
      <c r="Q18" s="461"/>
      <c r="R18" s="459"/>
      <c r="S18" s="460"/>
      <c r="T18" s="460"/>
      <c r="U18" s="460"/>
      <c r="V18" s="460"/>
      <c r="W18" s="461"/>
      <c r="X18" s="459"/>
      <c r="Y18" s="460"/>
      <c r="Z18" s="460"/>
      <c r="AA18" s="460"/>
      <c r="AB18" s="460"/>
      <c r="AC18" s="461"/>
      <c r="AD18" s="459"/>
      <c r="AE18" s="460"/>
      <c r="AF18" s="460"/>
      <c r="AG18" s="460"/>
      <c r="AH18" s="460"/>
      <c r="AI18" s="461"/>
      <c r="AJ18" s="473"/>
      <c r="AK18" s="474"/>
      <c r="AL18" s="474"/>
      <c r="AM18" s="474"/>
      <c r="AN18" s="474"/>
      <c r="AO18" s="475"/>
      <c r="AP18" s="69"/>
      <c r="AQ18" s="417"/>
      <c r="AR18" s="418"/>
      <c r="AS18" s="418"/>
      <c r="AT18" s="418"/>
      <c r="AU18" s="418"/>
      <c r="AV18" s="41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c r="C19" s="69"/>
      <c r="D19" s="409"/>
      <c r="E19" s="409"/>
      <c r="F19" s="410"/>
      <c r="G19" s="447" t="s">
        <v>281</v>
      </c>
      <c r="H19" s="448"/>
      <c r="I19" s="448"/>
      <c r="J19" s="448"/>
      <c r="K19" s="448"/>
      <c r="L19" s="467" t="str">
        <f>IF(AND('Mapa final'!$S$15="Alta",'Mapa final'!$W$15="Leve"),CONCATENATE("R",'Mapa final'!$A$15),"")</f>
        <v/>
      </c>
      <c r="M19" s="468"/>
      <c r="N19" s="468" t="str">
        <f>IF(AND('Mapa final'!$N$16="Alta",'Mapa final'!$R$16="Leve"),CONCATENATE("R",'Mapa final'!$A$16),"")</f>
        <v/>
      </c>
      <c r="O19" s="468"/>
      <c r="P19" s="468" t="str">
        <f>IF(AND('Mapa final'!$N$18="Alta",'Mapa final'!$R$18="Leve"),CONCATENATE("R",'Mapa final'!$A$18),"")</f>
        <v/>
      </c>
      <c r="Q19" s="479"/>
      <c r="R19" s="483" t="str">
        <f>IF(AND('Mapa final'!$S$15="Alta",'Mapa final'!$W$15="Menor"),CONCATENATE("R",'Mapa final'!$A$15),"")</f>
        <v/>
      </c>
      <c r="S19" s="484"/>
      <c r="T19" s="484" t="str">
        <f>IF(AND('Mapa final'!$S$16="Alta",'Mapa final'!$W$16="Menor"),CONCATENATE("R",'Mapa final'!$A$16),"")</f>
        <v/>
      </c>
      <c r="U19" s="484"/>
      <c r="V19" s="484" t="str">
        <f>IF(AND('Mapa final'!$S$18="Alta",'Mapa final'!$W$18="Menor"),CONCATENATE("R",'Mapa final'!$A$18),"")</f>
        <v/>
      </c>
      <c r="W19" s="485"/>
      <c r="X19" s="456" t="str">
        <f>IF(AND('Mapa final'!$S$15="Alta",'Mapa final'!$W$15="Moderado"),CONCATENATE("R",'Mapa final'!$A$15),"")</f>
        <v/>
      </c>
      <c r="Y19" s="457"/>
      <c r="Z19" s="457" t="str">
        <f>IF(AND('Mapa final'!S$16="Alta",'Mapa final'!$W$16="Moderado"),CONCATENATE("R",'Mapa final'!$A$16),"")</f>
        <v/>
      </c>
      <c r="AA19" s="457"/>
      <c r="AB19" s="457" t="str">
        <f>IF(AND('Mapa final'!$S$18="Alta",'Mapa final'!$W$18="Moderado"),CONCATENATE("R",'Mapa final'!$A$18),"")</f>
        <v/>
      </c>
      <c r="AC19" s="466"/>
      <c r="AD19" s="456" t="str">
        <f>IF(AND('Mapa final'!$S$15="Alta",'Mapa final'!$W$15="Mayor"),CONCATENATE("R",'Mapa final'!$A$15),"")</f>
        <v/>
      </c>
      <c r="AE19" s="457"/>
      <c r="AF19" s="457" t="str">
        <f>IF(AND('Mapa final'!$S$16="Alta",'Mapa final'!$W$16="Mayor"),CONCATENATE("R",'Mapa final'!$A$16),"")</f>
        <v/>
      </c>
      <c r="AG19" s="457"/>
      <c r="AH19" s="457" t="str">
        <f>IF(AND('Mapa final'!$S$18="Alta",'Mapa final'!$W$18="Mayor"),CONCATENATE("R",'Mapa final'!$A$18),"")</f>
        <v/>
      </c>
      <c r="AI19" s="466"/>
      <c r="AJ19" s="476" t="str">
        <f>IF(AND('Mapa final'!$S$15="Alta",'Mapa final'!$W$15="Catastrófico"),CONCATENATE("R",'Mapa final'!$A$15),"")</f>
        <v/>
      </c>
      <c r="AK19" s="477"/>
      <c r="AL19" s="477" t="str">
        <f>IF(AND('Mapa final'!$S$16="Alta",'Mapa final'!$W$16="Catastrófico"),CONCATENATE("R",'Mapa final'!$A$16),"")</f>
        <v/>
      </c>
      <c r="AM19" s="477"/>
      <c r="AN19" s="477" t="str">
        <f>IF(AND('Mapa final'!$S$18="Alta",'Mapa final'!$N$18="Catastrófico"),CONCATENATE("R",'Mapa final'!$A$18),"")</f>
        <v/>
      </c>
      <c r="AO19" s="478"/>
      <c r="AP19" s="69"/>
      <c r="AQ19" s="420" t="s">
        <v>282</v>
      </c>
      <c r="AR19" s="421"/>
      <c r="AS19" s="421"/>
      <c r="AT19" s="421"/>
      <c r="AU19" s="421"/>
      <c r="AV19" s="422"/>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c r="C20" s="69"/>
      <c r="D20" s="409"/>
      <c r="E20" s="409"/>
      <c r="F20" s="410"/>
      <c r="G20" s="449"/>
      <c r="H20" s="450"/>
      <c r="I20" s="450"/>
      <c r="J20" s="450"/>
      <c r="K20" s="450"/>
      <c r="L20" s="467"/>
      <c r="M20" s="468"/>
      <c r="N20" s="468"/>
      <c r="O20" s="468"/>
      <c r="P20" s="468"/>
      <c r="Q20" s="479"/>
      <c r="R20" s="467"/>
      <c r="S20" s="468"/>
      <c r="T20" s="468"/>
      <c r="U20" s="468"/>
      <c r="V20" s="468"/>
      <c r="W20" s="479"/>
      <c r="X20" s="458"/>
      <c r="Y20" s="454"/>
      <c r="Z20" s="454"/>
      <c r="AA20" s="454"/>
      <c r="AB20" s="454"/>
      <c r="AC20" s="455"/>
      <c r="AD20" s="458"/>
      <c r="AE20" s="454"/>
      <c r="AF20" s="454"/>
      <c r="AG20" s="454"/>
      <c r="AH20" s="454"/>
      <c r="AI20" s="455"/>
      <c r="AJ20" s="470"/>
      <c r="AK20" s="471"/>
      <c r="AL20" s="471"/>
      <c r="AM20" s="471"/>
      <c r="AN20" s="471"/>
      <c r="AO20" s="472"/>
      <c r="AP20" s="69"/>
      <c r="AQ20" s="423"/>
      <c r="AR20" s="424"/>
      <c r="AS20" s="424"/>
      <c r="AT20" s="424"/>
      <c r="AU20" s="424"/>
      <c r="AV20" s="425"/>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c r="C21" s="69"/>
      <c r="D21" s="409"/>
      <c r="E21" s="409"/>
      <c r="F21" s="410"/>
      <c r="G21" s="449"/>
      <c r="H21" s="450"/>
      <c r="I21" s="450"/>
      <c r="J21" s="450"/>
      <c r="K21" s="450"/>
      <c r="L21" s="467" t="str">
        <f>IF(AND('Mapa final'!$S$17="Alta",'Mapa final'!$W$17="Leve"),CONCATENATE("R",'Mapa final'!$A$17),"")</f>
        <v/>
      </c>
      <c r="M21" s="468"/>
      <c r="N21" s="468" t="str">
        <f>IF(AND('Mapa final'!$N$22="Alta",'Mapa final'!$R$22="Leve"),CONCATENATE("R",'Mapa final'!$A$22),"")</f>
        <v/>
      </c>
      <c r="O21" s="468"/>
      <c r="P21" s="468" t="str">
        <f>IF(AND('Mapa final'!$N$18="Alta",'Mapa final'!$R$18="Leve"),CONCATENATE("R",'Mapa final'!$A$18),"")</f>
        <v/>
      </c>
      <c r="Q21" s="479"/>
      <c r="R21" s="467" t="str">
        <f>IF(AND('Mapa final'!$S$17="Alta",'Mapa final'!$W$17="Menor"),CONCATENATE("R",'Mapa final'!$A$17),"")</f>
        <v/>
      </c>
      <c r="S21" s="468"/>
      <c r="T21" s="468" t="str">
        <f>IF(AND('Mapa final'!$LU$22="Alta",'Mapa final'!$W$22="Menor"),CONCATENATE("R",'Mapa final'!$A$22),"")</f>
        <v/>
      </c>
      <c r="U21" s="468"/>
      <c r="V21" s="468" t="str">
        <f>IF(AND('Mapa final'!$S$18="Alta",'Mapa final'!$W$18="Menor"),CONCATENATE("R",'Mapa final'!$A$18),"")</f>
        <v/>
      </c>
      <c r="W21" s="479"/>
      <c r="X21" s="458" t="str">
        <f>IF(AND('Mapa final'!$S$17="Alta",'Mapa final'!$W$17="Moderado"),CONCATENATE("R",'Mapa final'!$A$17),"")</f>
        <v/>
      </c>
      <c r="Y21" s="454"/>
      <c r="Z21" s="454" t="str">
        <f>IF(AND('Mapa final'!$S$22="Alta",'Mapa final'!$W$22="Moderado"),CONCATENATE("R",'Mapa final'!$A$22),"")</f>
        <v/>
      </c>
      <c r="AA21" s="454"/>
      <c r="AB21" s="454" t="str">
        <f>IF(AND('Mapa final'!$S$18="Alta",'Mapa final'!$W$18="Moderado"),CONCATENATE("R",'Mapa final'!$A$18),"")</f>
        <v/>
      </c>
      <c r="AC21" s="455"/>
      <c r="AD21" s="458" t="str">
        <f>IF(AND('Mapa final'!$S$17="Alta",'Mapa final'!$W$17="Mayor"),CONCATENATE("R",'Mapa final'!$A$17),"")</f>
        <v/>
      </c>
      <c r="AE21" s="454"/>
      <c r="AF21" s="454" t="str">
        <f>IF(AND('Mapa final'!$S$22="Alta",'Mapa final'!$W$22="Mayor"),CONCATENATE("R",'Mapa final'!$A$22),"")</f>
        <v/>
      </c>
      <c r="AG21" s="454"/>
      <c r="AH21" s="454" t="str">
        <f>IF(AND('Mapa final'!$S$18="Alta",'Mapa final'!$W$18="Mayor"),CONCATENATE("R",'Mapa final'!$A$18),"")</f>
        <v/>
      </c>
      <c r="AI21" s="455"/>
      <c r="AJ21" s="470" t="str">
        <f>IF(AND('Mapa final'!$S$17="Alta",'Mapa final'!$W$17="Catastrófico"),CONCATENATE("R",'Mapa final'!$A$17),"")</f>
        <v/>
      </c>
      <c r="AK21" s="471"/>
      <c r="AL21" s="471" t="str">
        <f>IF(AND('Mapa final'!$S$22="Alta",'Mapa final'!$W$22="Catastrófico"),CONCATENATE("R",'Mapa final'!$A$22),"")</f>
        <v/>
      </c>
      <c r="AM21" s="471"/>
      <c r="AN21" s="471" t="str">
        <f>IF(AND('Mapa final'!$S$18="Alta",'Mapa final'!$N$18="Catastrófico"),CONCATENATE("R",'Mapa final'!$A$18),"")</f>
        <v/>
      </c>
      <c r="AO21" s="472"/>
      <c r="AP21" s="69"/>
      <c r="AQ21" s="423"/>
      <c r="AR21" s="424"/>
      <c r="AS21" s="424"/>
      <c r="AT21" s="424"/>
      <c r="AU21" s="424"/>
      <c r="AV21" s="425"/>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c r="C22" s="69"/>
      <c r="D22" s="409"/>
      <c r="E22" s="409"/>
      <c r="F22" s="410"/>
      <c r="G22" s="449"/>
      <c r="H22" s="450"/>
      <c r="I22" s="450"/>
      <c r="J22" s="450"/>
      <c r="K22" s="450"/>
      <c r="L22" s="467"/>
      <c r="M22" s="468"/>
      <c r="N22" s="468"/>
      <c r="O22" s="468"/>
      <c r="P22" s="468"/>
      <c r="Q22" s="479"/>
      <c r="R22" s="467"/>
      <c r="S22" s="468"/>
      <c r="T22" s="468"/>
      <c r="U22" s="468"/>
      <c r="V22" s="468"/>
      <c r="W22" s="479"/>
      <c r="X22" s="458"/>
      <c r="Y22" s="454"/>
      <c r="Z22" s="454"/>
      <c r="AA22" s="454"/>
      <c r="AB22" s="454"/>
      <c r="AC22" s="455"/>
      <c r="AD22" s="458"/>
      <c r="AE22" s="454"/>
      <c r="AF22" s="454"/>
      <c r="AG22" s="454"/>
      <c r="AH22" s="454"/>
      <c r="AI22" s="455"/>
      <c r="AJ22" s="470"/>
      <c r="AK22" s="471"/>
      <c r="AL22" s="471"/>
      <c r="AM22" s="471"/>
      <c r="AN22" s="471"/>
      <c r="AO22" s="472"/>
      <c r="AP22" s="69"/>
      <c r="AQ22" s="423"/>
      <c r="AR22" s="424"/>
      <c r="AS22" s="424"/>
      <c r="AT22" s="424"/>
      <c r="AU22" s="424"/>
      <c r="AV22" s="425"/>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c r="C23" s="69"/>
      <c r="D23" s="409"/>
      <c r="E23" s="409"/>
      <c r="F23" s="410"/>
      <c r="G23" s="449"/>
      <c r="H23" s="450"/>
      <c r="I23" s="450"/>
      <c r="J23" s="450"/>
      <c r="K23" s="450"/>
      <c r="L23" s="467" t="str">
        <f>IF(AND('Mapa final'!$S$21="Alta",'Mapa final'!$W$21="Leve"),CONCATENATE("R",'Mapa final'!$A$21),"")</f>
        <v/>
      </c>
      <c r="M23" s="468"/>
      <c r="N23" s="468" t="str">
        <f>IF(AND('Mapa final'!$N$22="Alta",'Mapa final'!$R$22="Leve"),CONCATENATE("R",'Mapa final'!$A$22),"")</f>
        <v/>
      </c>
      <c r="O23" s="468"/>
      <c r="P23" s="468" t="str">
        <f>IF(AND('Mapa final'!$N$23="Alta",'Mapa final'!$R$23="Leve"),CONCATENATE("R",'Mapa final'!$A$23),"")</f>
        <v/>
      </c>
      <c r="Q23" s="479"/>
      <c r="R23" s="467" t="str">
        <f>IF(AND('Mapa final'!$S$21="Alta",'Mapa final'!$W$21="Menor"),CONCATENATE("R",'Mapa final'!$A$21),"")</f>
        <v/>
      </c>
      <c r="S23" s="468"/>
      <c r="T23" s="468" t="str">
        <f>IF(AND('Mapa final'!$LU$22="Alta",'Mapa final'!$W$22="Menor"),CONCATENATE("R",'Mapa final'!$A$22),"")</f>
        <v/>
      </c>
      <c r="U23" s="468"/>
      <c r="V23" s="468" t="str">
        <f>IF(AND('Mapa final'!$S$23="Alta",'Mapa final'!$W$23="Menor"),CONCATENATE("R",'Mapa final'!$A$23),"")</f>
        <v/>
      </c>
      <c r="W23" s="479"/>
      <c r="X23" s="458" t="str">
        <f>IF(AND('Mapa final'!$S$21="Alta",'Mapa final'!$W$21="Moderado"),CONCATENATE("R",'Mapa final'!$A$21),"")</f>
        <v/>
      </c>
      <c r="Y23" s="454"/>
      <c r="Z23" s="454" t="str">
        <f>IF(AND('Mapa final'!$S$22="Alta",'Mapa final'!$W$22="Moderado"),CONCATENATE("R",'Mapa final'!$A$22),"")</f>
        <v/>
      </c>
      <c r="AA23" s="454"/>
      <c r="AB23" s="454" t="str">
        <f>IF(AND('Mapa final'!$S$23="Alta",'Mapa final'!$W$23="Moderado"),CONCATENATE("R",'Mapa final'!$A$23),"")</f>
        <v/>
      </c>
      <c r="AC23" s="455"/>
      <c r="AD23" s="458" t="str">
        <f>IF(AND('Mapa final'!$S$21="Alta",'Mapa final'!$W$21="Mayor"),CONCATENATE("R",'Mapa final'!$A$21),"")</f>
        <v/>
      </c>
      <c r="AE23" s="454"/>
      <c r="AF23" s="454" t="str">
        <f>IF(AND('Mapa final'!$S$22="Alta",'Mapa final'!$W$22="Mayor"),CONCATENATE("R",'Mapa final'!$A$22),"")</f>
        <v/>
      </c>
      <c r="AG23" s="454"/>
      <c r="AH23" s="454" t="str">
        <f>IF(AND('Mapa final'!$S$23="Alta",'Mapa final'!$W$23="Mayor"),CONCATENATE("R",'Mapa final'!$A$23),"")</f>
        <v/>
      </c>
      <c r="AI23" s="455"/>
      <c r="AJ23" s="470" t="str">
        <f>IF(AND('Mapa final'!$S$21="Alta",'Mapa final'!$W$21="Catastrófico"),CONCATENATE("R",'Mapa final'!$A$21),"")</f>
        <v/>
      </c>
      <c r="AK23" s="471"/>
      <c r="AL23" s="471" t="str">
        <f>IF(AND('Mapa final'!$S$22="Alta",'Mapa final'!$W$22="Catastrófico"),CONCATENATE("R",'Mapa final'!$A$22),"")</f>
        <v/>
      </c>
      <c r="AM23" s="471"/>
      <c r="AN23" s="471" t="str">
        <f>IF(AND('Mapa final'!$S$23="Alta",'Mapa final'!$W$23="Catastrófico"),CONCATENATE("R",'Mapa final'!$A$23),"")</f>
        <v/>
      </c>
      <c r="AO23" s="472"/>
      <c r="AP23" s="69"/>
      <c r="AQ23" s="423"/>
      <c r="AR23" s="424"/>
      <c r="AS23" s="424"/>
      <c r="AT23" s="424"/>
      <c r="AU23" s="424"/>
      <c r="AV23" s="425"/>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c r="C24" s="69"/>
      <c r="D24" s="409"/>
      <c r="E24" s="409"/>
      <c r="F24" s="410"/>
      <c r="G24" s="449"/>
      <c r="H24" s="450"/>
      <c r="I24" s="450"/>
      <c r="J24" s="450"/>
      <c r="K24" s="450"/>
      <c r="L24" s="467"/>
      <c r="M24" s="468"/>
      <c r="N24" s="468"/>
      <c r="O24" s="468"/>
      <c r="P24" s="468"/>
      <c r="Q24" s="479"/>
      <c r="R24" s="467"/>
      <c r="S24" s="468"/>
      <c r="T24" s="468"/>
      <c r="U24" s="468"/>
      <c r="V24" s="468"/>
      <c r="W24" s="479"/>
      <c r="X24" s="458"/>
      <c r="Y24" s="454"/>
      <c r="Z24" s="454"/>
      <c r="AA24" s="454"/>
      <c r="AB24" s="454"/>
      <c r="AC24" s="455"/>
      <c r="AD24" s="458"/>
      <c r="AE24" s="454"/>
      <c r="AF24" s="454"/>
      <c r="AG24" s="454"/>
      <c r="AH24" s="454"/>
      <c r="AI24" s="455"/>
      <c r="AJ24" s="470"/>
      <c r="AK24" s="471"/>
      <c r="AL24" s="471"/>
      <c r="AM24" s="471"/>
      <c r="AN24" s="471"/>
      <c r="AO24" s="472"/>
      <c r="AP24" s="69"/>
      <c r="AQ24" s="423"/>
      <c r="AR24" s="424"/>
      <c r="AS24" s="424"/>
      <c r="AT24" s="424"/>
      <c r="AU24" s="424"/>
      <c r="AV24" s="425"/>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c r="C25" s="69"/>
      <c r="D25" s="409"/>
      <c r="E25" s="409"/>
      <c r="F25" s="410"/>
      <c r="G25" s="449"/>
      <c r="H25" s="450"/>
      <c r="I25" s="450"/>
      <c r="J25" s="450"/>
      <c r="K25" s="450"/>
      <c r="L25" s="467" t="str">
        <f>IF(AND('Mapa final'!$S$24="Alta",'Mapa final'!$W$24="Leve"),CONCATENATE("R",'Mapa final'!$A$24),"")</f>
        <v/>
      </c>
      <c r="M25" s="468"/>
      <c r="N25" s="468" t="str">
        <f>IF(AND('Mapa final'!$N$25="Alta",'Mapa final'!$R$25="Leve"),CONCATENATE("R",'Mapa final'!$A$25),"")</f>
        <v/>
      </c>
      <c r="O25" s="468"/>
      <c r="P25" s="468" t="str">
        <f>IF(AND('Mapa final'!$N$26="Alta",'Mapa final'!$R$26="Leve"),CONCATENATE("R",'Mapa final'!$A$26),"")</f>
        <v/>
      </c>
      <c r="Q25" s="479"/>
      <c r="R25" s="467" t="str">
        <f>IF(AND('Mapa final'!$S$24="Alta",'Mapa final'!$W$24="Menor"),CONCATENATE("R",'Mapa final'!$A$24),"")</f>
        <v/>
      </c>
      <c r="S25" s="468"/>
      <c r="T25" s="468" t="str">
        <f>IF(AND('Mapa final'!$S$25="Alta",'Mapa final'!$W$25="Menor"),CONCATENATE("R",'Mapa final'!$A$25),"")</f>
        <v/>
      </c>
      <c r="U25" s="468"/>
      <c r="V25" s="468" t="str">
        <f>IF(AND('Mapa final'!$S$26="Alta",'Mapa final'!$W$26="Menor"),CONCATENATE("R",'Mapa final'!$A$26),"")</f>
        <v/>
      </c>
      <c r="W25" s="479"/>
      <c r="X25" s="458" t="str">
        <f>IF(AND('Mapa final'!$S$24="Alta",'Mapa final'!$W$24="Moderado"),CONCATENATE("R",'Mapa final'!$A$24),"")</f>
        <v/>
      </c>
      <c r="Y25" s="454"/>
      <c r="Z25" s="454" t="str">
        <f>IF(AND('Mapa final'!$S$25="Alta",'Mapa final'!$W$25="Moderado"),CONCATENATE("R",'Mapa final'!$A$25),"")</f>
        <v/>
      </c>
      <c r="AA25" s="454"/>
      <c r="AB25" s="454" t="str">
        <f>IF(AND('Mapa final'!$S$26="Alta",'Mapa final'!$W$26="Moderado"),CONCATENATE("R",'Mapa final'!$A$26),"")</f>
        <v/>
      </c>
      <c r="AC25" s="455"/>
      <c r="AD25" s="458" t="str">
        <f>IF(AND('Mapa final'!$S$24="Alta",'Mapa final'!$W$24="Mayor"),CONCATENATE("R",'Mapa final'!$A$24),"")</f>
        <v/>
      </c>
      <c r="AE25" s="454"/>
      <c r="AF25" s="454" t="str">
        <f>IF(AND('Mapa final'!$S$25="Alta",'Mapa final'!$W$25="Mayor"),CONCATENATE("R",'Mapa final'!$A$25),"")</f>
        <v/>
      </c>
      <c r="AG25" s="454"/>
      <c r="AH25" s="454" t="str">
        <f>IF(AND('Mapa final'!$S$26="Alta",'Mapa final'!$W$26="Mayor"),CONCATENATE("R",'Mapa final'!$A$26),"")</f>
        <v/>
      </c>
      <c r="AI25" s="455"/>
      <c r="AJ25" s="470" t="str">
        <f>IF(AND('Mapa final'!$S$24="Alta",'Mapa final'!$W$24="Catastrófico"),CONCATENATE("R",'Mapa final'!$A$24),"")</f>
        <v/>
      </c>
      <c r="AK25" s="471"/>
      <c r="AL25" s="471" t="str">
        <f>IF(AND('Mapa final'!$S$25="Alta",'Mapa final'!$W$25="Catastrófico"),CONCATENATE("R",'Mapa final'!$A$25),"")</f>
        <v/>
      </c>
      <c r="AM25" s="471"/>
      <c r="AN25" s="471" t="str">
        <f>IF(AND('Mapa final'!$S$26="Alta",'Mapa final'!$W$26="Catastrófico"),CONCATENATE("R",'Mapa final'!$A$26),"")</f>
        <v/>
      </c>
      <c r="AO25" s="472"/>
      <c r="AP25" s="69"/>
      <c r="AQ25" s="423"/>
      <c r="AR25" s="424"/>
      <c r="AS25" s="424"/>
      <c r="AT25" s="424"/>
      <c r="AU25" s="424"/>
      <c r="AV25" s="425"/>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c r="C26" s="69"/>
      <c r="D26" s="409"/>
      <c r="E26" s="409"/>
      <c r="F26" s="410"/>
      <c r="G26" s="451"/>
      <c r="H26" s="452"/>
      <c r="I26" s="452"/>
      <c r="J26" s="452"/>
      <c r="K26" s="452"/>
      <c r="L26" s="480"/>
      <c r="M26" s="481"/>
      <c r="N26" s="481"/>
      <c r="O26" s="481"/>
      <c r="P26" s="481"/>
      <c r="Q26" s="482"/>
      <c r="R26" s="480"/>
      <c r="S26" s="481"/>
      <c r="T26" s="481"/>
      <c r="U26" s="481"/>
      <c r="V26" s="481"/>
      <c r="W26" s="482"/>
      <c r="X26" s="459"/>
      <c r="Y26" s="460"/>
      <c r="Z26" s="460"/>
      <c r="AA26" s="460"/>
      <c r="AB26" s="460"/>
      <c r="AC26" s="461"/>
      <c r="AD26" s="459"/>
      <c r="AE26" s="460"/>
      <c r="AF26" s="460"/>
      <c r="AG26" s="460"/>
      <c r="AH26" s="460"/>
      <c r="AI26" s="461"/>
      <c r="AJ26" s="473"/>
      <c r="AK26" s="474"/>
      <c r="AL26" s="474"/>
      <c r="AM26" s="474"/>
      <c r="AN26" s="474"/>
      <c r="AO26" s="475"/>
      <c r="AP26" s="69"/>
      <c r="AQ26" s="426"/>
      <c r="AR26" s="427"/>
      <c r="AS26" s="427"/>
      <c r="AT26" s="427"/>
      <c r="AU26" s="427"/>
      <c r="AV26" s="428"/>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c r="C27" s="69"/>
      <c r="D27" s="409"/>
      <c r="E27" s="409"/>
      <c r="F27" s="410"/>
      <c r="G27" s="447" t="s">
        <v>283</v>
      </c>
      <c r="H27" s="448"/>
      <c r="I27" s="448"/>
      <c r="J27" s="448"/>
      <c r="K27" s="448"/>
      <c r="L27" s="483" t="str">
        <f>IF(AND('Mapa final'!$S$15="Media",'Mapa final'!$W$15="Leve"),CONCATENATE("R",'Mapa final'!$A$15),"")</f>
        <v/>
      </c>
      <c r="M27" s="484"/>
      <c r="N27" s="484" t="str">
        <f>IF(AND('Mapa final'!$N$16="Media",'Mapa final'!$R$16="Leve"),CONCATENATE("R",'Mapa final'!$A$16),"")</f>
        <v/>
      </c>
      <c r="O27" s="484"/>
      <c r="P27" s="468" t="str">
        <f>IF(AND('Mapa final'!$N$18="Media",'Mapa final'!$R$18="Leve"),CONCATENATE("R",'Mapa final'!$A$18),"")</f>
        <v/>
      </c>
      <c r="Q27" s="479"/>
      <c r="R27" s="467" t="str">
        <f>IF(AND('Mapa final'!$S$15="Media",'Mapa final'!$W$15="Menor"),CONCATENATE("R",'Mapa final'!$A$15),"")</f>
        <v/>
      </c>
      <c r="S27" s="468"/>
      <c r="T27" s="468" t="str">
        <f>IF(AND('Mapa final'!$S$16="Media",'Mapa final'!$W$16="Menor"),CONCATENATE("R",'Mapa final'!$A$16),"")</f>
        <v/>
      </c>
      <c r="U27" s="468"/>
      <c r="V27" s="468" t="str">
        <f>IF(AND('Mapa final'!$S$18="Media",'Mapa final'!$W$18="Menor"),CONCATENATE("R",'Mapa final'!$A$18),"")</f>
        <v/>
      </c>
      <c r="W27" s="468"/>
      <c r="X27" s="467" t="str">
        <f>IF(AND('Mapa final'!$S$15="Media",'Mapa final'!$W$15="Moderado"),CONCATENATE("R",'Mapa final'!$A$15),"")</f>
        <v/>
      </c>
      <c r="Y27" s="468"/>
      <c r="Z27" s="468" t="str">
        <f>IF(AND('Mapa final'!S$16="Media",'Mapa final'!$W$16="Moderado"),CONCATENATE("R",'Mapa final'!$A$16),"")</f>
        <v/>
      </c>
      <c r="AA27" s="468"/>
      <c r="AB27" s="468" t="str">
        <f>IF(AND('Mapa final'!$S$18="Media",'Mapa final'!$W$18="Moderado"),CONCATENATE("R",'Mapa final'!$A$18),"")</f>
        <v/>
      </c>
      <c r="AC27" s="468"/>
      <c r="AD27" s="458" t="str">
        <f>IF(AND('Mapa final'!$S$15="Media",'Mapa final'!$W$15="Mayor"),CONCATENATE("R",'Mapa final'!$D$15),"")</f>
        <v/>
      </c>
      <c r="AE27" s="454"/>
      <c r="AF27" s="454" t="str">
        <f>IF(AND('Mapa final'!$S$16="Media",'Mapa final'!$W$16="Mayor"),CONCATENATE("R",'Mapa final'!$A$16),"")</f>
        <v/>
      </c>
      <c r="AG27" s="454"/>
      <c r="AH27" s="454" t="str">
        <f>IF(AND('Mapa final'!$S$18="Media",'Mapa final'!$W$18="Mayor"),CONCATENATE("R",'Mapa final'!$A$18),"")</f>
        <v/>
      </c>
      <c r="AI27" s="454"/>
      <c r="AJ27" s="476" t="str">
        <f>IF(AND('Mapa final'!$S$15="Media",'Mapa final'!$W$15="Catastrófico"),CONCATENATE("R",'Mapa final'!$A$15),"")</f>
        <v/>
      </c>
      <c r="AK27" s="477"/>
      <c r="AL27" s="477" t="str">
        <f>IF(AND('Mapa final'!$S$16="Media",'Mapa final'!$W$16="Catastrófico"),CONCATENATE("R",'Mapa final'!$A$16),"")</f>
        <v/>
      </c>
      <c r="AM27" s="477"/>
      <c r="AN27" s="477" t="str">
        <f>IF(AND('Mapa final'!$S$18="Media",'Mapa final'!$N$18="Catastrófico"),CONCATENATE("R",'Mapa final'!$A$18),"")</f>
        <v/>
      </c>
      <c r="AO27" s="478"/>
      <c r="AP27" s="69"/>
      <c r="AQ27" s="429" t="s">
        <v>284</v>
      </c>
      <c r="AR27" s="430"/>
      <c r="AS27" s="430"/>
      <c r="AT27" s="430"/>
      <c r="AU27" s="430"/>
      <c r="AV27" s="431"/>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c r="C28" s="69"/>
      <c r="D28" s="409"/>
      <c r="E28" s="409"/>
      <c r="F28" s="410"/>
      <c r="G28" s="449"/>
      <c r="H28" s="450"/>
      <c r="I28" s="450"/>
      <c r="J28" s="450"/>
      <c r="K28" s="450"/>
      <c r="L28" s="467"/>
      <c r="M28" s="468"/>
      <c r="N28" s="468"/>
      <c r="O28" s="468"/>
      <c r="P28" s="468"/>
      <c r="Q28" s="479"/>
      <c r="R28" s="467"/>
      <c r="S28" s="468"/>
      <c r="T28" s="468"/>
      <c r="U28" s="468"/>
      <c r="V28" s="468"/>
      <c r="W28" s="468"/>
      <c r="X28" s="467"/>
      <c r="Y28" s="468"/>
      <c r="Z28" s="468"/>
      <c r="AA28" s="468"/>
      <c r="AB28" s="468"/>
      <c r="AC28" s="468"/>
      <c r="AD28" s="458"/>
      <c r="AE28" s="454"/>
      <c r="AF28" s="454"/>
      <c r="AG28" s="454"/>
      <c r="AH28" s="454"/>
      <c r="AI28" s="454"/>
      <c r="AJ28" s="470"/>
      <c r="AK28" s="471"/>
      <c r="AL28" s="471"/>
      <c r="AM28" s="471"/>
      <c r="AN28" s="471"/>
      <c r="AO28" s="472"/>
      <c r="AP28" s="69"/>
      <c r="AQ28" s="432"/>
      <c r="AR28" s="433"/>
      <c r="AS28" s="433"/>
      <c r="AT28" s="433"/>
      <c r="AU28" s="433"/>
      <c r="AV28" s="434"/>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c r="C29" s="69"/>
      <c r="D29" s="409"/>
      <c r="E29" s="409"/>
      <c r="F29" s="410"/>
      <c r="G29" s="449"/>
      <c r="H29" s="450"/>
      <c r="I29" s="450"/>
      <c r="J29" s="450"/>
      <c r="K29" s="450"/>
      <c r="L29" s="467" t="str">
        <f>IF(AND('Mapa final'!$S$17="Media",'Mapa final'!$W$17="Leve"),CONCATENATE("R",'Mapa final'!$A$17),"")</f>
        <v/>
      </c>
      <c r="M29" s="468"/>
      <c r="N29" s="468" t="str">
        <f>IF(AND('Mapa final'!$N$22="Media",'Mapa final'!$R$22="Leve"),CONCATENATE("R",'Mapa final'!$A$22),"")</f>
        <v/>
      </c>
      <c r="O29" s="468"/>
      <c r="P29" s="468" t="str">
        <f>IF(AND('Mapa final'!$N$18="Media",'Mapa final'!$R$18="Leve"),CONCATENATE("R",'Mapa final'!$A$18),"")</f>
        <v/>
      </c>
      <c r="Q29" s="479"/>
      <c r="R29" s="467" t="str">
        <f>IF(AND('Mapa final'!$S$17="Media",'Mapa final'!$W$17="Menor"),CONCATENATE("R",'Mapa final'!$A$17),"")</f>
        <v/>
      </c>
      <c r="S29" s="468"/>
      <c r="T29" s="468" t="str">
        <f>IF(AND('Mapa final'!$LU$22="Media",'Mapa final'!$W$22="Menor"),CONCATENATE("R",'Mapa final'!$A$22),"")</f>
        <v/>
      </c>
      <c r="U29" s="468"/>
      <c r="V29" s="468" t="str">
        <f>IF(AND('Mapa final'!$S$18="Media",'Mapa final'!$W$18="Menor"),CONCATENATE("R",'Mapa final'!$A$18),"")</f>
        <v/>
      </c>
      <c r="W29" s="468"/>
      <c r="X29" s="467" t="str">
        <f>IF(AND('Mapa final'!$S$17="Media",'Mapa final'!$W$17="Moderado"),CONCATENATE("R",'Mapa final'!$A$17),"")</f>
        <v/>
      </c>
      <c r="Y29" s="468"/>
      <c r="Z29" s="468" t="str">
        <f>IF(AND('Mapa final'!$S$22="Media",'Mapa final'!$W$22="Moderado"),CONCATENATE("R",'Mapa final'!$A$22),"")</f>
        <v/>
      </c>
      <c r="AA29" s="468"/>
      <c r="AB29" s="468" t="str">
        <f>IF(AND('Mapa final'!$S$18="Media",'Mapa final'!$W$18="Moderado"),CONCATENATE("R",'Mapa final'!$A$18),"")</f>
        <v/>
      </c>
      <c r="AC29" s="468"/>
      <c r="AD29" s="458" t="str">
        <f>IF(AND('Mapa final'!$S$17="Media",'Mapa final'!$W$17="Mayor"),CONCATENATE("R",'Mapa final'!$A$17),"")</f>
        <v/>
      </c>
      <c r="AE29" s="454"/>
      <c r="AF29" s="454"/>
      <c r="AG29" s="454"/>
      <c r="AH29" s="454" t="str">
        <f>IF(AND('Mapa final'!$S$18="Media",'Mapa final'!$W$18="Mayor"),CONCATENATE("R",'Mapa final'!$A$18),"")</f>
        <v/>
      </c>
      <c r="AI29" s="454"/>
      <c r="AJ29" s="470" t="str">
        <f>IF(AND('Mapa final'!$S$17="Media",'Mapa final'!$W$17="Catastrófico"),CONCATENATE("R",'Mapa final'!$A$17),"")</f>
        <v/>
      </c>
      <c r="AK29" s="471"/>
      <c r="AL29" s="471" t="str">
        <f>IF(AND('Mapa final'!$S$22="Media",'Mapa final'!$W$22="Catastrófico"),CONCATENATE("R",'Mapa final'!$A$22),"")</f>
        <v/>
      </c>
      <c r="AM29" s="471"/>
      <c r="AN29" s="471" t="str">
        <f>IF(AND('Mapa final'!$S$18="Media",'Mapa final'!$N$18="Catastrófico"),CONCATENATE("R",'Mapa final'!$A$18),"")</f>
        <v/>
      </c>
      <c r="AO29" s="472"/>
      <c r="AP29" s="69"/>
      <c r="AQ29" s="432"/>
      <c r="AR29" s="433"/>
      <c r="AS29" s="433"/>
      <c r="AT29" s="433"/>
      <c r="AU29" s="433"/>
      <c r="AV29" s="434"/>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c r="C30" s="69"/>
      <c r="D30" s="409"/>
      <c r="E30" s="409"/>
      <c r="F30" s="410"/>
      <c r="G30" s="449"/>
      <c r="H30" s="450"/>
      <c r="I30" s="450"/>
      <c r="J30" s="450"/>
      <c r="K30" s="450"/>
      <c r="L30" s="467"/>
      <c r="M30" s="468"/>
      <c r="N30" s="468"/>
      <c r="O30" s="468"/>
      <c r="P30" s="468"/>
      <c r="Q30" s="479"/>
      <c r="R30" s="467"/>
      <c r="S30" s="468"/>
      <c r="T30" s="468"/>
      <c r="U30" s="468"/>
      <c r="V30" s="468"/>
      <c r="W30" s="468"/>
      <c r="X30" s="467"/>
      <c r="Y30" s="468"/>
      <c r="Z30" s="468"/>
      <c r="AA30" s="468"/>
      <c r="AB30" s="468"/>
      <c r="AC30" s="468"/>
      <c r="AD30" s="458"/>
      <c r="AE30" s="454"/>
      <c r="AF30" s="454"/>
      <c r="AG30" s="454"/>
      <c r="AH30" s="454"/>
      <c r="AI30" s="454"/>
      <c r="AJ30" s="470"/>
      <c r="AK30" s="471"/>
      <c r="AL30" s="471"/>
      <c r="AM30" s="471"/>
      <c r="AN30" s="471"/>
      <c r="AO30" s="472"/>
      <c r="AP30" s="69"/>
      <c r="AQ30" s="432"/>
      <c r="AR30" s="433"/>
      <c r="AS30" s="433"/>
      <c r="AT30" s="433"/>
      <c r="AU30" s="433"/>
      <c r="AV30" s="434"/>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c r="C31" s="69"/>
      <c r="D31" s="409"/>
      <c r="E31" s="409"/>
      <c r="F31" s="410"/>
      <c r="G31" s="449"/>
      <c r="H31" s="450"/>
      <c r="I31" s="450"/>
      <c r="J31" s="450"/>
      <c r="K31" s="450"/>
      <c r="L31" s="467" t="str">
        <f>IF(AND('Mapa final'!$S$21="Media",'Mapa final'!$W$21="Leve"),CONCATENATE("R",'Mapa final'!$A$21),"")</f>
        <v/>
      </c>
      <c r="M31" s="468"/>
      <c r="N31" s="468" t="str">
        <f>IF(AND('Mapa final'!$N$22="Media",'Mapa final'!$R$22="Leve"),CONCATENATE("R",'Mapa final'!$A$22),"")</f>
        <v/>
      </c>
      <c r="O31" s="468"/>
      <c r="P31" s="468" t="str">
        <f>IF(AND('Mapa final'!$N$23="Media",'Mapa final'!$R$23="Leve"),CONCATENATE("R",'Mapa final'!$A$23),"")</f>
        <v/>
      </c>
      <c r="Q31" s="479"/>
      <c r="R31" s="467" t="str">
        <f>IF(AND('Mapa final'!$S$21="Media",'Mapa final'!$W$21="Menor"),CONCATENATE("R",'Mapa final'!$A$21),"")</f>
        <v/>
      </c>
      <c r="S31" s="468"/>
      <c r="T31" s="468" t="str">
        <f>IF(AND('Mapa final'!$LU$22="Media",'Mapa final'!$W$22="Menor"),CONCATENATE("R",'Mapa final'!$A$22),"")</f>
        <v/>
      </c>
      <c r="U31" s="468"/>
      <c r="V31" s="468" t="str">
        <f>IF(AND('Mapa final'!$S$23="Media",'Mapa final'!$W$23="Menor"),CONCATENATE("R",'Mapa final'!$A$23),"")</f>
        <v/>
      </c>
      <c r="W31" s="468"/>
      <c r="X31" s="467" t="str">
        <f>IF(AND('Mapa final'!$S$21="Media",'Mapa final'!$W$21="Moderado"),CONCATENATE("R",'Mapa final'!$A$21),"")</f>
        <v/>
      </c>
      <c r="Y31" s="468"/>
      <c r="Z31" s="468" t="str">
        <f>IF(AND('Mapa final'!$S$22="Media",'Mapa final'!$W$22="Moderado"),CONCATENATE("R",'Mapa final'!$A$22),"")</f>
        <v/>
      </c>
      <c r="AA31" s="468"/>
      <c r="AB31" s="468" t="str">
        <f>IF(AND('Mapa final'!$S$23="Media",'Mapa final'!$W$23="Moderado"),CONCATENATE("R",'Mapa final'!$A$23),"")</f>
        <v/>
      </c>
      <c r="AC31" s="468"/>
      <c r="AD31" s="458" t="str">
        <f>IF(AND('Mapa final'!$S$21="Media",'Mapa final'!$W$21="Mayor"),CONCATENATE("R",'Mapa final'!$A$21),"")</f>
        <v/>
      </c>
      <c r="AE31" s="454"/>
      <c r="AF31" s="454"/>
      <c r="AG31" s="454"/>
      <c r="AH31" s="454" t="str">
        <f>IF(AND('Mapa final'!$S$23="Media",'Mapa final'!$W$23="Mayor"),CONCATENATE("R",'Mapa final'!$A$23),"")</f>
        <v/>
      </c>
      <c r="AI31" s="454"/>
      <c r="AJ31" s="470" t="str">
        <f>IF(AND('Mapa final'!$S$21="Media",'Mapa final'!$W$21="Catastrófico"),CONCATENATE("R",'Mapa final'!$A$21),"")</f>
        <v/>
      </c>
      <c r="AK31" s="471"/>
      <c r="AL31" s="471" t="str">
        <f>IF(AND('Mapa final'!$S$22="Media",'Mapa final'!$W$22="Catastrófico"),CONCATENATE("R",'Mapa final'!$A$22),"")</f>
        <v/>
      </c>
      <c r="AM31" s="471"/>
      <c r="AN31" s="471" t="str">
        <f>IF(AND('Mapa final'!$S$23="Media",'Mapa final'!$W$23="Catastrófico"),CONCATENATE("R",'Mapa final'!$A$23),"")</f>
        <v/>
      </c>
      <c r="AO31" s="472"/>
      <c r="AP31" s="69"/>
      <c r="AQ31" s="432"/>
      <c r="AR31" s="433"/>
      <c r="AS31" s="433"/>
      <c r="AT31" s="433"/>
      <c r="AU31" s="433"/>
      <c r="AV31" s="434"/>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c r="C32" s="69"/>
      <c r="D32" s="409"/>
      <c r="E32" s="409"/>
      <c r="F32" s="410"/>
      <c r="G32" s="449"/>
      <c r="H32" s="450"/>
      <c r="I32" s="450"/>
      <c r="J32" s="450"/>
      <c r="K32" s="450"/>
      <c r="L32" s="467"/>
      <c r="M32" s="468"/>
      <c r="N32" s="468"/>
      <c r="O32" s="468"/>
      <c r="P32" s="468"/>
      <c r="Q32" s="479"/>
      <c r="R32" s="467"/>
      <c r="S32" s="468"/>
      <c r="T32" s="468"/>
      <c r="U32" s="468"/>
      <c r="V32" s="468"/>
      <c r="W32" s="468"/>
      <c r="X32" s="467"/>
      <c r="Y32" s="468"/>
      <c r="Z32" s="468"/>
      <c r="AA32" s="468"/>
      <c r="AB32" s="468"/>
      <c r="AC32" s="468"/>
      <c r="AD32" s="458"/>
      <c r="AE32" s="454"/>
      <c r="AF32" s="454"/>
      <c r="AG32" s="454"/>
      <c r="AH32" s="454"/>
      <c r="AI32" s="454"/>
      <c r="AJ32" s="470"/>
      <c r="AK32" s="471"/>
      <c r="AL32" s="471"/>
      <c r="AM32" s="471"/>
      <c r="AN32" s="471"/>
      <c r="AO32" s="472"/>
      <c r="AP32" s="69"/>
      <c r="AQ32" s="432"/>
      <c r="AR32" s="433"/>
      <c r="AS32" s="433"/>
      <c r="AT32" s="433"/>
      <c r="AU32" s="433"/>
      <c r="AV32" s="434"/>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c r="C33" s="69"/>
      <c r="D33" s="409"/>
      <c r="E33" s="409"/>
      <c r="F33" s="410"/>
      <c r="G33" s="449"/>
      <c r="H33" s="450"/>
      <c r="I33" s="450"/>
      <c r="J33" s="450"/>
      <c r="K33" s="450"/>
      <c r="L33" s="467" t="str">
        <f>IF(AND('Mapa final'!$S$24="Mediaa",'Mapa final'!$W$24="Leve"),CONCATENATE("R",'Mapa final'!$A$24),"")</f>
        <v/>
      </c>
      <c r="M33" s="468"/>
      <c r="N33" s="468" t="str">
        <f>IF(AND('Mapa final'!$N$25="Media",'Mapa final'!$R$25="Leve"),CONCATENATE("R",'Mapa final'!$A$25),"")</f>
        <v/>
      </c>
      <c r="O33" s="468"/>
      <c r="P33" s="468" t="str">
        <f>IF(AND('Mapa final'!$N$26="Media",'Mapa final'!$R$26="Leve"),CONCATENATE("R",'Mapa final'!$A$26),"")</f>
        <v/>
      </c>
      <c r="Q33" s="479"/>
      <c r="R33" s="467" t="str">
        <f>IF(AND('Mapa final'!$S$24="Media",'Mapa final'!$W$24="Menor"),CONCATENATE("R",'Mapa final'!$A$24),"")</f>
        <v/>
      </c>
      <c r="S33" s="468"/>
      <c r="T33" s="468" t="str">
        <f>IF(AND('Mapa final'!$S$25="Media",'Mapa final'!$W$25="Menor"),CONCATENATE("R",'Mapa final'!$A$25),"")</f>
        <v/>
      </c>
      <c r="U33" s="468"/>
      <c r="V33" s="468" t="str">
        <f>IF(AND('Mapa final'!$S$26="Media",'Mapa final'!$W$26="Menor"),CONCATENATE("R",'Mapa final'!$A$26),"")</f>
        <v/>
      </c>
      <c r="W33" s="468"/>
      <c r="X33" s="467" t="str">
        <f>IF(AND('Mapa final'!$S$24="Media",'Mapa final'!$W$24="Moderado"),CONCATENATE("R",'Mapa final'!$A$24),"")</f>
        <v/>
      </c>
      <c r="Y33" s="468"/>
      <c r="Z33" s="468" t="str">
        <f>IF(AND('Mapa final'!$S$25="Media",'Mapa final'!$W$25="Moderado"),CONCATENATE("R",'Mapa final'!$A$25),"")</f>
        <v/>
      </c>
      <c r="AA33" s="468"/>
      <c r="AB33" s="468" t="str">
        <f>IF(AND('Mapa final'!$S$26="Media",'Mapa final'!$W$26="Moderado"),CONCATENATE("R",'Mapa final'!$A$26),"")</f>
        <v/>
      </c>
      <c r="AC33" s="468"/>
      <c r="AD33" s="458" t="str">
        <f>IF(AND('Mapa final'!$S$24="Media",'Mapa final'!$W$24="Mayor"),CONCATENATE("R",'Mapa final'!$A$24),"")</f>
        <v/>
      </c>
      <c r="AE33" s="454"/>
      <c r="AF33" s="454" t="str">
        <f>IF(AND('Mapa final'!$S$25="Media",'Mapa final'!$W$25="Mayor"),CONCATENATE("R",'Mapa final'!$A$25),"")</f>
        <v/>
      </c>
      <c r="AG33" s="454"/>
      <c r="AH33" s="454" t="str">
        <f>IF(AND('Mapa final'!$S$26="Media",'Mapa final'!$W$26="Mayor"),CONCATENATE("R",'Mapa final'!$A$26),"")</f>
        <v/>
      </c>
      <c r="AI33" s="454"/>
      <c r="AJ33" s="470" t="str">
        <f>IF(AND('Mapa final'!$S$24="Media",'Mapa final'!$W$24="Catastrófico"),CONCATENATE("R",'Mapa final'!$A$24),"")</f>
        <v/>
      </c>
      <c r="AK33" s="471"/>
      <c r="AL33" s="471" t="str">
        <f>IF(AND('Mapa final'!$S$25="Media",'Mapa final'!$W$25="Catastrófico"),CONCATENATE("R",'Mapa final'!$A$25),"")</f>
        <v/>
      </c>
      <c r="AM33" s="471"/>
      <c r="AN33" s="471" t="str">
        <f>IF(AND('Mapa final'!$S$26="Media",'Mapa final'!$W$26="Catastrófico"),CONCATENATE("R",'Mapa final'!$A$26),"")</f>
        <v/>
      </c>
      <c r="AO33" s="472"/>
      <c r="AP33" s="69"/>
      <c r="AQ33" s="432"/>
      <c r="AR33" s="433"/>
      <c r="AS33" s="433"/>
      <c r="AT33" s="433"/>
      <c r="AU33" s="433"/>
      <c r="AV33" s="434"/>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c r="C34" s="69"/>
      <c r="D34" s="409"/>
      <c r="E34" s="409"/>
      <c r="F34" s="410"/>
      <c r="G34" s="451"/>
      <c r="H34" s="452"/>
      <c r="I34" s="452"/>
      <c r="J34" s="452"/>
      <c r="K34" s="452"/>
      <c r="L34" s="467"/>
      <c r="M34" s="468"/>
      <c r="N34" s="468"/>
      <c r="O34" s="468"/>
      <c r="P34" s="468"/>
      <c r="Q34" s="479"/>
      <c r="R34" s="480"/>
      <c r="S34" s="481"/>
      <c r="T34" s="481"/>
      <c r="U34" s="481"/>
      <c r="V34" s="481"/>
      <c r="W34" s="481"/>
      <c r="X34" s="480"/>
      <c r="Y34" s="481"/>
      <c r="Z34" s="481"/>
      <c r="AA34" s="481"/>
      <c r="AB34" s="481"/>
      <c r="AC34" s="481"/>
      <c r="AD34" s="459"/>
      <c r="AE34" s="460"/>
      <c r="AF34" s="460"/>
      <c r="AG34" s="460"/>
      <c r="AH34" s="460"/>
      <c r="AI34" s="460"/>
      <c r="AJ34" s="473"/>
      <c r="AK34" s="474"/>
      <c r="AL34" s="474"/>
      <c r="AM34" s="474"/>
      <c r="AN34" s="474"/>
      <c r="AO34" s="475"/>
      <c r="AP34" s="69"/>
      <c r="AQ34" s="435"/>
      <c r="AR34" s="436"/>
      <c r="AS34" s="436"/>
      <c r="AT34" s="436"/>
      <c r="AU34" s="436"/>
      <c r="AV34" s="437"/>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c r="C35" s="69"/>
      <c r="D35" s="409"/>
      <c r="E35" s="409"/>
      <c r="F35" s="410"/>
      <c r="G35" s="447" t="s">
        <v>285</v>
      </c>
      <c r="H35" s="448"/>
      <c r="I35" s="448"/>
      <c r="J35" s="448"/>
      <c r="K35" s="448"/>
      <c r="L35" s="492" t="str">
        <f>IF(AND('Mapa final'!$S$15="Baja",'Mapa final'!$W$15="Leve"),CONCATENATE("R",'Mapa final'!$D$15),"")</f>
        <v>R1</v>
      </c>
      <c r="M35" s="493"/>
      <c r="N35" s="493" t="str">
        <f>IF(AND('Mapa final'!$S$18="Baja",'Mapa final'!$W$18="Leve"),CONCATENATE("R",'Mapa final'!$D$18),"")</f>
        <v>R3</v>
      </c>
      <c r="O35" s="493"/>
      <c r="P35" s="493" t="str">
        <f>IF(AND('Mapa final'!$S$19="Baja",'Mapa final'!$W$19="Leve"),CONCATENATE("R",'Mapa final'!$D$19),"")</f>
        <v/>
      </c>
      <c r="Q35" s="494"/>
      <c r="R35" s="484" t="str">
        <f>IF(AND('Mapa final'!$S$15="Baja",'Mapa final'!$W$15="Menor"),CONCATENATE("R",'Mapa final'!$A$15),"")</f>
        <v/>
      </c>
      <c r="S35" s="484"/>
      <c r="T35" s="468" t="str">
        <f>IF(AND('Mapa final'!$S$16="Baja",'Mapa final'!$W$16="Menor"),CONCATENATE("R",'Mapa final'!$A$16),"")</f>
        <v/>
      </c>
      <c r="U35" s="468"/>
      <c r="V35" s="468" t="str">
        <f>IF(AND('Mapa final'!$S$18="Baja",'Mapa final'!$W$18="Menor"),CONCATENATE("R",'Mapa final'!$A$18),"")</f>
        <v/>
      </c>
      <c r="W35" s="479"/>
      <c r="X35" s="467" t="str">
        <f>IF(AND('Mapa final'!$S$15="Baja",'Mapa final'!$W$15="Moderado"),CONCATENATE("R",'Mapa final'!$A$15),"")</f>
        <v/>
      </c>
      <c r="Y35" s="468"/>
      <c r="Z35" s="468" t="str">
        <f>IF(AND('Mapa final'!S$16="Baja",'Mapa final'!$W$16="Moderado"),CONCATENATE("R",'Mapa final'!$A$16),"")</f>
        <v/>
      </c>
      <c r="AA35" s="468"/>
      <c r="AB35" s="468" t="str">
        <f>IF(AND('Mapa final'!$S$18="Baja",'Mapa final'!$W$18="Moderado"),CONCATENATE("R",'Mapa final'!$A$18),"")</f>
        <v/>
      </c>
      <c r="AC35" s="479"/>
      <c r="AD35" s="458" t="str">
        <f>IF(AND('Mapa final'!$S$15="Baja",'Mapa final'!$W$15="Mayor"),CONCATENATE("R",'Mapa final'!$A$15),"")</f>
        <v/>
      </c>
      <c r="AE35" s="454"/>
      <c r="AF35" s="454" t="str">
        <f>IF(AND('Mapa final'!$S$16="Baja",'Mapa final'!$W$16="Mayor"),CONCATENATE("R",'Mapa final'!$A$16),"")</f>
        <v/>
      </c>
      <c r="AG35" s="454"/>
      <c r="AH35" s="454" t="str">
        <f>IF(AND('Mapa final'!$S$18="Baja",'Mapa final'!$W$18="Mayor"),CONCATENATE("R",'Mapa final'!$A$18),"")</f>
        <v/>
      </c>
      <c r="AI35" s="454"/>
      <c r="AJ35" s="470" t="str">
        <f>IF(AND('Mapa final'!$S$15="Baja",'Mapa final'!$W$15="Catastrófico"),CONCATENATE("R",'Mapa final'!$A$15),"")</f>
        <v/>
      </c>
      <c r="AK35" s="471"/>
      <c r="AL35" s="471" t="str">
        <f>IF(AND('Mapa final'!$S$16="Baja",'Mapa final'!$W$16="Catastrófico"),CONCATENATE("R",'Mapa final'!$A$16),"")</f>
        <v/>
      </c>
      <c r="AM35" s="471"/>
      <c r="AN35" s="471" t="str">
        <f>IF(AND('Mapa final'!$S$18="Baja",'Mapa final'!$N$18="Catastrófico"),CONCATENATE("R",'Mapa final'!$A$18),"")</f>
        <v/>
      </c>
      <c r="AO35" s="472"/>
      <c r="AP35" s="69"/>
      <c r="AQ35" s="438" t="s">
        <v>286</v>
      </c>
      <c r="AR35" s="439"/>
      <c r="AS35" s="439"/>
      <c r="AT35" s="439"/>
      <c r="AU35" s="439"/>
      <c r="AV35" s="440"/>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c r="C36" s="69"/>
      <c r="D36" s="409"/>
      <c r="E36" s="409"/>
      <c r="F36" s="410"/>
      <c r="G36" s="449"/>
      <c r="H36" s="450"/>
      <c r="I36" s="450"/>
      <c r="J36" s="450"/>
      <c r="K36" s="450"/>
      <c r="L36" s="488"/>
      <c r="M36" s="486"/>
      <c r="N36" s="486"/>
      <c r="O36" s="486"/>
      <c r="P36" s="486"/>
      <c r="Q36" s="487"/>
      <c r="R36" s="468"/>
      <c r="S36" s="468"/>
      <c r="T36" s="468"/>
      <c r="U36" s="468"/>
      <c r="V36" s="468"/>
      <c r="W36" s="479"/>
      <c r="X36" s="467"/>
      <c r="Y36" s="468"/>
      <c r="Z36" s="468"/>
      <c r="AA36" s="468"/>
      <c r="AB36" s="468"/>
      <c r="AC36" s="479"/>
      <c r="AD36" s="458"/>
      <c r="AE36" s="454"/>
      <c r="AF36" s="454"/>
      <c r="AG36" s="454"/>
      <c r="AH36" s="454"/>
      <c r="AI36" s="454"/>
      <c r="AJ36" s="470"/>
      <c r="AK36" s="471"/>
      <c r="AL36" s="471"/>
      <c r="AM36" s="471"/>
      <c r="AN36" s="471"/>
      <c r="AO36" s="472"/>
      <c r="AP36" s="69"/>
      <c r="AQ36" s="441"/>
      <c r="AR36" s="442"/>
      <c r="AS36" s="442"/>
      <c r="AT36" s="442"/>
      <c r="AU36" s="442"/>
      <c r="AV36" s="443"/>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c r="C37" s="69"/>
      <c r="D37" s="409"/>
      <c r="E37" s="409"/>
      <c r="F37" s="410"/>
      <c r="G37" s="449"/>
      <c r="H37" s="450"/>
      <c r="I37" s="450"/>
      <c r="J37" s="450"/>
      <c r="K37" s="450"/>
      <c r="L37" s="488" t="str">
        <f>IF(AND('Mapa final'!$S$17="Baja",'Mapa final'!$W$17="Leve"),CONCATENATE("R",'Mapa final'!$D$17),"")</f>
        <v>R2</v>
      </c>
      <c r="M37" s="486"/>
      <c r="N37" s="486" t="str">
        <f>IF(AND('Mapa final'!$N$22="Baja",'Mapa final'!$R$22="Leve"),CONCATENATE("R",'Mapa final'!$A$22),"")</f>
        <v/>
      </c>
      <c r="O37" s="486"/>
      <c r="P37" s="486" t="str">
        <f>IF(AND('Mapa final'!$N$18="Baja",'Mapa final'!$R$18="Leve"),CONCATENATE("R",'Mapa final'!$A$18),"")</f>
        <v/>
      </c>
      <c r="Q37" s="487"/>
      <c r="R37" s="468" t="str">
        <f>IF(AND('Mapa final'!$S$17="Baja",'Mapa final'!$W$17="Menor"),CONCATENATE("R",'Mapa final'!$A$17),"")</f>
        <v/>
      </c>
      <c r="S37" s="468"/>
      <c r="T37" s="468" t="str">
        <f>IF(AND('Mapa final'!$LU$22="Baja",'Mapa final'!$W$22="Menor"),CONCATENATE("R",'Mapa final'!$A$22),"")</f>
        <v/>
      </c>
      <c r="U37" s="468"/>
      <c r="V37" s="468" t="str">
        <f>IF(AND('Mapa final'!$S$18="Baja",'Mapa final'!$W$18="Menor"),CONCATENATE("R",'Mapa final'!$A$18),"")</f>
        <v/>
      </c>
      <c r="W37" s="479"/>
      <c r="X37" s="467" t="str">
        <f>IF(AND('Mapa final'!$S$17="Baja",'Mapa final'!$W$17="Moderado"),CONCATENATE("R",'Mapa final'!$A$17),"")</f>
        <v/>
      </c>
      <c r="Y37" s="468"/>
      <c r="Z37" s="468" t="str">
        <f>IF(AND('Mapa final'!$S$22="Baja",'Mapa final'!$W$22="Moderado"),CONCATENATE("R",'Mapa final'!$A$22),"")</f>
        <v/>
      </c>
      <c r="AA37" s="468"/>
      <c r="AB37" s="468" t="str">
        <f>IF(AND('Mapa final'!$S$18="Baja",'Mapa final'!$W$18="Moderado"),CONCATENATE("R",'Mapa final'!$A$18),"")</f>
        <v/>
      </c>
      <c r="AC37" s="479"/>
      <c r="AD37" s="458" t="str">
        <f>IF(AND('Mapa final'!$S$17="Baja",'Mapa final'!$W$17="Mayor"),CONCATENATE("R",'Mapa final'!$A$17),"")</f>
        <v/>
      </c>
      <c r="AE37" s="454"/>
      <c r="AF37" s="454" t="str">
        <f>IF(AND('Mapa final'!$S$22="Baja",'Mapa final'!$W$22="Mayor"),CONCATENATE("R",'Mapa final'!$A$22),"")</f>
        <v/>
      </c>
      <c r="AG37" s="454"/>
      <c r="AH37" s="454" t="str">
        <f>IF(AND('Mapa final'!$S$18="Baja",'Mapa final'!$W$18="Mayor"),CONCATENATE("R",'Mapa final'!$A$18),"")</f>
        <v/>
      </c>
      <c r="AI37" s="454"/>
      <c r="AJ37" s="470" t="str">
        <f>IF(AND('Mapa final'!$S$17="Baja",'Mapa final'!$W$17="Catastrófico"),CONCATENATE("R",'Mapa final'!$A$17),"")</f>
        <v/>
      </c>
      <c r="AK37" s="471"/>
      <c r="AL37" s="471" t="str">
        <f>IF(AND('Mapa final'!$S$22="Baja",'Mapa final'!$W$22="Catastrófico"),CONCATENATE("R",'Mapa final'!$A$22),"")</f>
        <v/>
      </c>
      <c r="AM37" s="471"/>
      <c r="AN37" s="471" t="str">
        <f>IF(AND('Mapa final'!$S$18="Baja",'Mapa final'!$N$18="Catastrófico"),CONCATENATE("R",'Mapa final'!$A$18),"")</f>
        <v/>
      </c>
      <c r="AO37" s="472"/>
      <c r="AP37" s="69"/>
      <c r="AQ37" s="441"/>
      <c r="AR37" s="442"/>
      <c r="AS37" s="442"/>
      <c r="AT37" s="442"/>
      <c r="AU37" s="442"/>
      <c r="AV37" s="443"/>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c r="C38" s="69"/>
      <c r="D38" s="409"/>
      <c r="E38" s="409"/>
      <c r="F38" s="410"/>
      <c r="G38" s="449"/>
      <c r="H38" s="450"/>
      <c r="I38" s="450"/>
      <c r="J38" s="450"/>
      <c r="K38" s="450"/>
      <c r="L38" s="488"/>
      <c r="M38" s="486"/>
      <c r="N38" s="486"/>
      <c r="O38" s="486"/>
      <c r="P38" s="486"/>
      <c r="Q38" s="487"/>
      <c r="R38" s="468"/>
      <c r="S38" s="468"/>
      <c r="T38" s="468"/>
      <c r="U38" s="468"/>
      <c r="V38" s="468"/>
      <c r="W38" s="479"/>
      <c r="X38" s="467"/>
      <c r="Y38" s="468"/>
      <c r="Z38" s="468"/>
      <c r="AA38" s="468"/>
      <c r="AB38" s="468"/>
      <c r="AC38" s="479"/>
      <c r="AD38" s="458"/>
      <c r="AE38" s="454"/>
      <c r="AF38" s="454"/>
      <c r="AG38" s="454"/>
      <c r="AH38" s="454"/>
      <c r="AI38" s="454"/>
      <c r="AJ38" s="470"/>
      <c r="AK38" s="471"/>
      <c r="AL38" s="471"/>
      <c r="AM38" s="471"/>
      <c r="AN38" s="471"/>
      <c r="AO38" s="472"/>
      <c r="AP38" s="69"/>
      <c r="AQ38" s="441"/>
      <c r="AR38" s="442"/>
      <c r="AS38" s="442"/>
      <c r="AT38" s="442"/>
      <c r="AU38" s="442"/>
      <c r="AV38" s="443"/>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c r="C39" s="69"/>
      <c r="D39" s="409"/>
      <c r="E39" s="409"/>
      <c r="F39" s="410"/>
      <c r="G39" s="449"/>
      <c r="H39" s="450"/>
      <c r="I39" s="450"/>
      <c r="J39" s="450"/>
      <c r="K39" s="450"/>
      <c r="L39" s="488" t="str">
        <f>IF(AND('Mapa final'!$S$21="Baja",'Mapa final'!$W$21="Leve"),CONCATENATE("R",'Mapa final'!$A$21),"")</f>
        <v/>
      </c>
      <c r="M39" s="486"/>
      <c r="N39" s="486" t="str">
        <f>IF(AND('Mapa final'!$N$22="Baja",'Mapa final'!$R$22="Leve"),CONCATENATE("R",'Mapa final'!$A$22),"")</f>
        <v/>
      </c>
      <c r="O39" s="486"/>
      <c r="P39" s="486" t="str">
        <f>IF(AND('Mapa final'!$N$23="Baja",'Mapa final'!$R$23="Leve"),CONCATENATE("R",'Mapa final'!$A$23),"")</f>
        <v/>
      </c>
      <c r="Q39" s="487"/>
      <c r="R39" s="468" t="str">
        <f>IF(AND('Mapa final'!$S$21="Baja",'Mapa final'!$W$21="Menor"),CONCATENATE("R",'Mapa final'!$A$21),"")</f>
        <v/>
      </c>
      <c r="S39" s="468"/>
      <c r="T39" s="468" t="str">
        <f>IF(AND('Mapa final'!$LU$22="Baja",'Mapa final'!$W$22="Menor"),CONCATENATE("R",'Mapa final'!$A$22),"")</f>
        <v/>
      </c>
      <c r="U39" s="468"/>
      <c r="V39" s="468" t="str">
        <f>IF(AND('Mapa final'!$S$23="Baja",'Mapa final'!$W$23="Menor"),CONCATENATE("R",'Mapa final'!$A$23),"")</f>
        <v/>
      </c>
      <c r="W39" s="479"/>
      <c r="X39" s="467" t="str">
        <f>IF(AND('Mapa final'!$S$21="Baja",'Mapa final'!$W$21="Moderado"),CONCATENATE("R",'Mapa final'!$A$21),"")</f>
        <v/>
      </c>
      <c r="Y39" s="468"/>
      <c r="Z39" s="468" t="str">
        <f>IF(AND('Mapa final'!$S$22="Baja",'Mapa final'!$W$22="Moderado"),CONCATENATE("R",'Mapa final'!$A$22),"")</f>
        <v/>
      </c>
      <c r="AA39" s="468"/>
      <c r="AB39" s="468" t="str">
        <f>IF(AND('Mapa final'!$S$23="Baja",'Mapa final'!$W$23="Moderado"),CONCATENATE("R",'Mapa final'!$A$23),"")</f>
        <v/>
      </c>
      <c r="AC39" s="479"/>
      <c r="AD39" s="458" t="str">
        <f>IF(AND('Mapa final'!$S$21="Baja",'Mapa final'!$W$21="Mayor"),CONCATENATE("R",'Mapa final'!$A$21),"")</f>
        <v/>
      </c>
      <c r="AE39" s="454"/>
      <c r="AF39" s="454" t="str">
        <f>IF(AND('Mapa final'!$S$22="Baja",'Mapa final'!$W$22="Mayor"),CONCATENATE("R",'Mapa final'!$A$22),"")</f>
        <v/>
      </c>
      <c r="AG39" s="454"/>
      <c r="AH39" s="454" t="str">
        <f>IF(AND('Mapa final'!$S$23="Baja",'Mapa final'!$W$23="Mayor"),CONCATENATE("R",'Mapa final'!$A$23),"")</f>
        <v/>
      </c>
      <c r="AI39" s="454"/>
      <c r="AJ39" s="470" t="str">
        <f>IF(AND('Mapa final'!$S$21="Baja",'Mapa final'!$W$21="Catastrófico"),CONCATENATE("R",'Mapa final'!$A$21),"")</f>
        <v/>
      </c>
      <c r="AK39" s="471"/>
      <c r="AL39" s="471" t="str">
        <f>IF(AND('Mapa final'!$S$22="Baja",'Mapa final'!$W$22="Catastrófico"),CONCATENATE("R",'Mapa final'!$A$22),"")</f>
        <v/>
      </c>
      <c r="AM39" s="471"/>
      <c r="AN39" s="471" t="str">
        <f>IF(AND('Mapa final'!$S$23="Baja",'Mapa final'!$W$23="Catastrófico"),CONCATENATE("R",'Mapa final'!$A$23),"")</f>
        <v/>
      </c>
      <c r="AO39" s="472"/>
      <c r="AP39" s="69"/>
      <c r="AQ39" s="441"/>
      <c r="AR39" s="442"/>
      <c r="AS39" s="442"/>
      <c r="AT39" s="442"/>
      <c r="AU39" s="442"/>
      <c r="AV39" s="443"/>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c r="C40" s="69"/>
      <c r="D40" s="409"/>
      <c r="E40" s="409"/>
      <c r="F40" s="410"/>
      <c r="G40" s="449"/>
      <c r="H40" s="450"/>
      <c r="I40" s="450"/>
      <c r="J40" s="450"/>
      <c r="K40" s="450"/>
      <c r="L40" s="488"/>
      <c r="M40" s="486"/>
      <c r="N40" s="486"/>
      <c r="O40" s="486"/>
      <c r="P40" s="486"/>
      <c r="Q40" s="487"/>
      <c r="R40" s="468"/>
      <c r="S40" s="468"/>
      <c r="T40" s="468"/>
      <c r="U40" s="468"/>
      <c r="V40" s="468"/>
      <c r="W40" s="479"/>
      <c r="X40" s="467"/>
      <c r="Y40" s="468"/>
      <c r="Z40" s="468"/>
      <c r="AA40" s="468"/>
      <c r="AB40" s="468"/>
      <c r="AC40" s="479"/>
      <c r="AD40" s="458"/>
      <c r="AE40" s="454"/>
      <c r="AF40" s="454"/>
      <c r="AG40" s="454"/>
      <c r="AH40" s="454"/>
      <c r="AI40" s="454"/>
      <c r="AJ40" s="470"/>
      <c r="AK40" s="471"/>
      <c r="AL40" s="471"/>
      <c r="AM40" s="471"/>
      <c r="AN40" s="471"/>
      <c r="AO40" s="472"/>
      <c r="AP40" s="69"/>
      <c r="AQ40" s="441"/>
      <c r="AR40" s="442"/>
      <c r="AS40" s="442"/>
      <c r="AT40" s="442"/>
      <c r="AU40" s="442"/>
      <c r="AV40" s="443"/>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c r="C41" s="69"/>
      <c r="D41" s="409"/>
      <c r="E41" s="409"/>
      <c r="F41" s="410"/>
      <c r="G41" s="449"/>
      <c r="H41" s="450"/>
      <c r="I41" s="450"/>
      <c r="J41" s="450"/>
      <c r="K41" s="450"/>
      <c r="L41" s="488" t="str">
        <f>IF(AND('Mapa final'!$S$24="Baja",'Mapa final'!$W$24="Leve"),CONCATENATE("R",'Mapa final'!$A$24),"")</f>
        <v/>
      </c>
      <c r="M41" s="486"/>
      <c r="N41" s="486" t="str">
        <f>IF(AND('Mapa final'!$N$25="Baja",'Mapa final'!$R$25="Leve"),CONCATENATE("R",'Mapa final'!$A$25),"")</f>
        <v/>
      </c>
      <c r="O41" s="486"/>
      <c r="P41" s="486" t="str">
        <f>IF(AND('Mapa final'!$N$26="Baja",'Mapa final'!$R$26="Leve"),CONCATENATE("R",'Mapa final'!$A$26),"")</f>
        <v/>
      </c>
      <c r="Q41" s="487"/>
      <c r="R41" s="468" t="str">
        <f>IF(AND('Mapa final'!$S$24="Baja",'Mapa final'!$W$24="Menor"),CONCATENATE("R",'Mapa final'!$A$24),"")</f>
        <v/>
      </c>
      <c r="S41" s="468"/>
      <c r="T41" s="468" t="str">
        <f>IF(AND('Mapa final'!$S$25="Baja",'Mapa final'!$W$25="Menor"),CONCATENATE("R",'Mapa final'!$A$25),"")</f>
        <v/>
      </c>
      <c r="U41" s="468"/>
      <c r="V41" s="468" t="str">
        <f>IF(AND('Mapa final'!$S$26="Baja",'Mapa final'!$W$26="Menor"),CONCATENATE("R",'Mapa final'!$A$26),"")</f>
        <v/>
      </c>
      <c r="W41" s="479"/>
      <c r="X41" s="467" t="str">
        <f>IF(AND('Mapa final'!$S$24="Baja",'Mapa final'!$W$24="Moderado"),CONCATENATE("R",'Mapa final'!$A$24),"")</f>
        <v/>
      </c>
      <c r="Y41" s="468"/>
      <c r="Z41" s="468" t="str">
        <f>IF(AND('Mapa final'!$S$25="Baja",'Mapa final'!$W$25="Moderado"),CONCATENATE("R",'Mapa final'!$A$25),"")</f>
        <v/>
      </c>
      <c r="AA41" s="468"/>
      <c r="AB41" s="468" t="str">
        <f>IF(AND('Mapa final'!$S$26="Baja",'Mapa final'!$W$26="Moderado"),CONCATENATE("R",'Mapa final'!$A$26),"")</f>
        <v/>
      </c>
      <c r="AC41" s="479"/>
      <c r="AD41" s="458" t="str">
        <f>IF(AND('Mapa final'!$S$24="Baja",'Mapa final'!$W$24="Mayor"),CONCATENATE("R",'Mapa final'!$A$24),"")</f>
        <v/>
      </c>
      <c r="AE41" s="454"/>
      <c r="AF41" s="454" t="str">
        <f>IF(AND('Mapa final'!$S$25="Baja",'Mapa final'!$W$25="Mayor"),CONCATENATE("R",'Mapa final'!$A$25),"")</f>
        <v/>
      </c>
      <c r="AG41" s="454"/>
      <c r="AH41" s="454" t="str">
        <f>IF(AND('Mapa final'!$S$26="Baja",'Mapa final'!$W$26="Mayor"),CONCATENATE("R",'Mapa final'!$A$26),"")</f>
        <v/>
      </c>
      <c r="AI41" s="454"/>
      <c r="AJ41" s="470" t="str">
        <f>IF(AND('Mapa final'!$S$24="Baja",'Mapa final'!$W$24="Catastrófico"),CONCATENATE("R",'Mapa final'!$A$24),"")</f>
        <v/>
      </c>
      <c r="AK41" s="471"/>
      <c r="AL41" s="471" t="str">
        <f>IF(AND('Mapa final'!$S$25="Baja",'Mapa final'!$W$25="Catastrófico"),CONCATENATE("R",'Mapa final'!$A$25),"")</f>
        <v/>
      </c>
      <c r="AM41" s="471"/>
      <c r="AN41" s="471" t="str">
        <f>IF(AND('Mapa final'!$S$26="Baja",'Mapa final'!$W$26="Catastrófico"),CONCATENATE("R",'Mapa final'!$A$26),"")</f>
        <v/>
      </c>
      <c r="AO41" s="472"/>
      <c r="AP41" s="69"/>
      <c r="AQ41" s="441"/>
      <c r="AR41" s="442"/>
      <c r="AS41" s="442"/>
      <c r="AT41" s="442"/>
      <c r="AU41" s="442"/>
      <c r="AV41" s="443"/>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c r="C42" s="69"/>
      <c r="D42" s="409"/>
      <c r="E42" s="409"/>
      <c r="F42" s="410"/>
      <c r="G42" s="451"/>
      <c r="H42" s="452"/>
      <c r="I42" s="452"/>
      <c r="J42" s="452"/>
      <c r="K42" s="452"/>
      <c r="L42" s="489"/>
      <c r="M42" s="490"/>
      <c r="N42" s="490"/>
      <c r="O42" s="490"/>
      <c r="P42" s="490"/>
      <c r="Q42" s="491"/>
      <c r="R42" s="481"/>
      <c r="S42" s="481"/>
      <c r="T42" s="481"/>
      <c r="U42" s="481"/>
      <c r="V42" s="481"/>
      <c r="W42" s="482"/>
      <c r="X42" s="480"/>
      <c r="Y42" s="481"/>
      <c r="Z42" s="481"/>
      <c r="AA42" s="481"/>
      <c r="AB42" s="481"/>
      <c r="AC42" s="482"/>
      <c r="AD42" s="459"/>
      <c r="AE42" s="460"/>
      <c r="AF42" s="460"/>
      <c r="AG42" s="460"/>
      <c r="AH42" s="460"/>
      <c r="AI42" s="460"/>
      <c r="AJ42" s="473"/>
      <c r="AK42" s="474"/>
      <c r="AL42" s="474"/>
      <c r="AM42" s="474"/>
      <c r="AN42" s="474"/>
      <c r="AO42" s="475"/>
      <c r="AP42" s="69"/>
      <c r="AQ42" s="444"/>
      <c r="AR42" s="445"/>
      <c r="AS42" s="445"/>
      <c r="AT42" s="445"/>
      <c r="AU42" s="445"/>
      <c r="AV42" s="446"/>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c r="C43" s="69"/>
      <c r="D43" s="409"/>
      <c r="E43" s="409"/>
      <c r="F43" s="410"/>
      <c r="G43" s="447" t="s">
        <v>287</v>
      </c>
      <c r="H43" s="448"/>
      <c r="I43" s="448"/>
      <c r="J43" s="448"/>
      <c r="K43" s="448"/>
      <c r="L43" s="488" t="str">
        <f>IF(AND('Mapa final'!$S$15="Muy Baja",'Mapa final'!$W$15="Leve"),CONCATENATE("R",'Mapa final'!$A$15),"")</f>
        <v/>
      </c>
      <c r="M43" s="486"/>
      <c r="N43" s="486" t="str">
        <f>IF(AND('Mapa final'!$N$16="Muy Baja",'Mapa final'!$R$16="Leve"),CONCATENATE("R",'Mapa final'!$A$16),"")</f>
        <v/>
      </c>
      <c r="O43" s="486"/>
      <c r="P43" s="486" t="str">
        <f>IF(AND('Mapa final'!$N$18="Muy Baja",'Mapa final'!$R$18="Leve"),CONCATENATE("R",'Mapa final'!$A$18),"")</f>
        <v/>
      </c>
      <c r="Q43" s="487"/>
      <c r="R43" s="492" t="str">
        <f>IF(AND('Mapa final'!$S$15="Muy Baja",'Mapa final'!$W$15="Menor"),CONCATENATE("R",'Mapa final'!$A$15),"")</f>
        <v/>
      </c>
      <c r="S43" s="493"/>
      <c r="T43" s="493" t="str">
        <f>IF(AND('Mapa final'!$S$16="Muy Baja",'Mapa final'!$W$16="Menor"),CONCATENATE("R",'Mapa final'!$A$16),"")</f>
        <v/>
      </c>
      <c r="U43" s="493"/>
      <c r="V43" s="486"/>
      <c r="W43" s="487"/>
      <c r="X43" s="483" t="str">
        <f>IF(AND('Mapa final'!$S$15="Muy Baja",'Mapa final'!$W$15="Moderado"),CONCATENATE("R",'Mapa final'!$A$15),"")</f>
        <v/>
      </c>
      <c r="Y43" s="484"/>
      <c r="Z43" s="484" t="str">
        <f>IF(AND('Mapa final'!S$16="Muy Baja",'Mapa final'!$W$16="Moderado"),CONCATENATE("R",'Mapa final'!$A$16),"")</f>
        <v/>
      </c>
      <c r="AA43" s="484"/>
      <c r="AB43" s="468" t="str">
        <f>IF(AND('Mapa final'!$S$18="Muy Baja",'Mapa final'!$W$18="Moderado"),CONCATENATE("R",'Mapa final'!$A$18),"")</f>
        <v/>
      </c>
      <c r="AC43" s="479"/>
      <c r="AD43" s="456" t="str">
        <f>IF(AND('Mapa final'!$S$15="Muy Baja",'Mapa final'!$W$15="Mayor"),CONCATENATE("R",'Mapa final'!$A$15),"")</f>
        <v/>
      </c>
      <c r="AE43" s="457"/>
      <c r="AF43" s="457" t="str">
        <f>IF(AND('Mapa final'!$S$16="Muy Baja",'Mapa final'!$W$16="Mayor"),CONCATENATE("R",'Mapa final'!$A$16),"")</f>
        <v/>
      </c>
      <c r="AG43" s="457"/>
      <c r="AH43" s="454" t="str">
        <f>IF(AND('Mapa final'!$S$18="Muy Baja",'Mapa final'!$W$18="Mayor"),CONCATENATE("R",'Mapa final'!$A$18),"")</f>
        <v/>
      </c>
      <c r="AI43" s="455"/>
      <c r="AJ43" s="470" t="str">
        <f>IF(AND('Mapa final'!$S$15="Muy Baja",'Mapa final'!$W$15="Catastrófico"),CONCATENATE("R",'Mapa final'!$A$15),"")</f>
        <v/>
      </c>
      <c r="AK43" s="471"/>
      <c r="AL43" s="471" t="str">
        <f>IF(AND('Mapa final'!$S$16="Muy Baja",'Mapa final'!$W$16="Catastrófico"),CONCATENATE("R",'Mapa final'!$A$16),"")</f>
        <v/>
      </c>
      <c r="AM43" s="471"/>
      <c r="AN43" s="471" t="str">
        <f>IF(AND('Mapa final'!$S$18="Muy Baja",'Mapa final'!$N$18="Catastrófico"),CONCATENATE("R",'Mapa final'!$A$18),"")</f>
        <v/>
      </c>
      <c r="AO43" s="472"/>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c r="C44" s="69"/>
      <c r="D44" s="409"/>
      <c r="E44" s="409"/>
      <c r="F44" s="410"/>
      <c r="G44" s="449"/>
      <c r="H44" s="450"/>
      <c r="I44" s="450"/>
      <c r="J44" s="450"/>
      <c r="K44" s="450"/>
      <c r="L44" s="488"/>
      <c r="M44" s="486"/>
      <c r="N44" s="486"/>
      <c r="O44" s="486"/>
      <c r="P44" s="486"/>
      <c r="Q44" s="487"/>
      <c r="R44" s="488"/>
      <c r="S44" s="486"/>
      <c r="T44" s="486"/>
      <c r="U44" s="486"/>
      <c r="V44" s="486"/>
      <c r="W44" s="487"/>
      <c r="X44" s="467"/>
      <c r="Y44" s="468"/>
      <c r="Z44" s="468"/>
      <c r="AA44" s="468"/>
      <c r="AB44" s="468"/>
      <c r="AC44" s="479"/>
      <c r="AD44" s="458"/>
      <c r="AE44" s="454"/>
      <c r="AF44" s="454"/>
      <c r="AG44" s="454"/>
      <c r="AH44" s="454"/>
      <c r="AI44" s="455"/>
      <c r="AJ44" s="470"/>
      <c r="AK44" s="471"/>
      <c r="AL44" s="471"/>
      <c r="AM44" s="471"/>
      <c r="AN44" s="471"/>
      <c r="AO44" s="472"/>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c r="C45" s="69"/>
      <c r="D45" s="409"/>
      <c r="E45" s="409"/>
      <c r="F45" s="410"/>
      <c r="G45" s="449"/>
      <c r="H45" s="450"/>
      <c r="I45" s="450"/>
      <c r="J45" s="450"/>
      <c r="K45" s="450"/>
      <c r="L45" s="488" t="str">
        <f>IF(AND('Mapa final'!$S$17="Muy Baja",'Mapa final'!$W$17="Leve"),CONCATENATE("R",'Mapa final'!$A$17),"")</f>
        <v/>
      </c>
      <c r="M45" s="486"/>
      <c r="N45" s="486" t="str">
        <f>IF(AND('Mapa final'!$N$22="Muy Baja",'Mapa final'!$R$22="Leve"),CONCATENATE("R",'Mapa final'!$A$22),"")</f>
        <v/>
      </c>
      <c r="O45" s="486"/>
      <c r="P45" s="486" t="str">
        <f>IF(AND('Mapa final'!$N$18="Muy Baja",'Mapa final'!$R$18="Leve"),CONCATENATE("R",'Mapa final'!$A$18),"")</f>
        <v/>
      </c>
      <c r="Q45" s="487"/>
      <c r="R45" s="488" t="str">
        <f>IF(AND('Mapa final'!$S$17="Muy Baja",'Mapa final'!$W$17="Menor"),CONCATENATE("R",'Mapa final'!$A$17),"")</f>
        <v/>
      </c>
      <c r="S45" s="486"/>
      <c r="T45" s="486" t="str">
        <f>IF(AND('Mapa final'!$LU$22="Muy Baja",'Mapa final'!$W$22="Menor"),CONCATENATE("R",'Mapa final'!$A$22),"")</f>
        <v/>
      </c>
      <c r="U45" s="486"/>
      <c r="V45" s="486"/>
      <c r="W45" s="487"/>
      <c r="X45" s="467" t="str">
        <f>IF(AND('Mapa final'!$S$17="Muy Baja",'Mapa final'!$W$17="Moderado"),CONCATENATE("R",'Mapa final'!$A$17),"")</f>
        <v/>
      </c>
      <c r="Y45" s="468"/>
      <c r="Z45" s="468" t="str">
        <f>IF(AND('Mapa final'!$S$22="Muy Baja",'Mapa final'!$W$22="Moderado"),CONCATENATE("R",'Mapa final'!$A$22),"")</f>
        <v/>
      </c>
      <c r="AA45" s="468"/>
      <c r="AB45" s="468" t="str">
        <f>IF(AND('Mapa final'!$S$18="Muy Baja",'Mapa final'!$W$18="Moderado"),CONCATENATE("R",'Mapa final'!$A$18),"")</f>
        <v/>
      </c>
      <c r="AC45" s="479"/>
      <c r="AD45" s="458" t="str">
        <f>IF(AND('Mapa final'!$S$17="Muy Baja",'Mapa final'!$W$17="Mayor"),CONCATENATE("R",'Mapa final'!$A$17),"")</f>
        <v/>
      </c>
      <c r="AE45" s="454"/>
      <c r="AF45" s="454" t="str">
        <f>IF(AND('Mapa final'!$S$22="Muy Baja",'Mapa final'!$W$22="Mayor"),CONCATENATE("R",'Mapa final'!$A$22),"")</f>
        <v/>
      </c>
      <c r="AG45" s="454"/>
      <c r="AH45" s="454" t="str">
        <f>IF(AND('Mapa final'!$S$18="Muy Baja",'Mapa final'!$W$18="Mayor"),CONCATENATE("R",'Mapa final'!$A$18),"")</f>
        <v/>
      </c>
      <c r="AI45" s="455"/>
      <c r="AJ45" s="470" t="str">
        <f>IF(AND('Mapa final'!$S$17="Muy Baja",'Mapa final'!$W$17="Catastrófico"),CONCATENATE("R",'Mapa final'!$A$17),"")</f>
        <v/>
      </c>
      <c r="AK45" s="471"/>
      <c r="AL45" s="471" t="str">
        <f>IF(AND('Mapa final'!$S$22="Muy Baja",'Mapa final'!$W$22="Catastrófico"),CONCATENATE("R",'Mapa final'!$A$22),"")</f>
        <v/>
      </c>
      <c r="AM45" s="471"/>
      <c r="AN45" s="471" t="str">
        <f>IF(AND('Mapa final'!$S$18="Muy Baja",'Mapa final'!$N$18="Catastrófico"),CONCATENATE("R",'Mapa final'!$A$18),"")</f>
        <v/>
      </c>
      <c r="AO45" s="472"/>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c r="C46" s="69"/>
      <c r="D46" s="409"/>
      <c r="E46" s="409"/>
      <c r="F46" s="410"/>
      <c r="G46" s="449"/>
      <c r="H46" s="450"/>
      <c r="I46" s="450"/>
      <c r="J46" s="450"/>
      <c r="K46" s="450"/>
      <c r="L46" s="488"/>
      <c r="M46" s="486"/>
      <c r="N46" s="486"/>
      <c r="O46" s="486"/>
      <c r="P46" s="486"/>
      <c r="Q46" s="487"/>
      <c r="R46" s="488"/>
      <c r="S46" s="486"/>
      <c r="T46" s="486"/>
      <c r="U46" s="486"/>
      <c r="V46" s="486"/>
      <c r="W46" s="487"/>
      <c r="X46" s="467"/>
      <c r="Y46" s="468"/>
      <c r="Z46" s="468"/>
      <c r="AA46" s="468"/>
      <c r="AB46" s="468"/>
      <c r="AC46" s="479"/>
      <c r="AD46" s="458"/>
      <c r="AE46" s="454"/>
      <c r="AF46" s="454"/>
      <c r="AG46" s="454"/>
      <c r="AH46" s="454"/>
      <c r="AI46" s="455"/>
      <c r="AJ46" s="470"/>
      <c r="AK46" s="471"/>
      <c r="AL46" s="471"/>
      <c r="AM46" s="471"/>
      <c r="AN46" s="471"/>
      <c r="AO46" s="472"/>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c r="C47" s="69"/>
      <c r="D47" s="409"/>
      <c r="E47" s="409"/>
      <c r="F47" s="410"/>
      <c r="G47" s="449"/>
      <c r="H47" s="450"/>
      <c r="I47" s="450"/>
      <c r="J47" s="450"/>
      <c r="K47" s="450"/>
      <c r="L47" s="488" t="str">
        <f>IF(AND('Mapa final'!$S$21="Muy Baja",'Mapa final'!$W$21="Leve"),CONCATENATE("R",'Mapa final'!$A$21),"")</f>
        <v/>
      </c>
      <c r="M47" s="486"/>
      <c r="N47" s="486" t="str">
        <f>IF(AND('Mapa final'!$N$22="Muy Baja",'Mapa final'!$R$22="Leve"),CONCATENATE("R",'Mapa final'!$A$22),"")</f>
        <v/>
      </c>
      <c r="O47" s="486"/>
      <c r="P47" s="486" t="str">
        <f>IF(AND('Mapa final'!$N$23="Muy Baja",'Mapa final'!$R$23="Leve"),CONCATENATE("R",'Mapa final'!$A$23),"")</f>
        <v/>
      </c>
      <c r="Q47" s="487"/>
      <c r="R47" s="488" t="str">
        <f>IF(AND('Mapa final'!$S$21="Muy Baja",'Mapa final'!$W$21="Menor"),CONCATENATE("R",'Mapa final'!$A$21),"")</f>
        <v/>
      </c>
      <c r="S47" s="486"/>
      <c r="T47" s="486" t="str">
        <f>IF(AND('Mapa final'!$LU$22="Muy Baja",'Mapa final'!$W$22="Menor"),CONCATENATE("R",'Mapa final'!$A$22),"")</f>
        <v/>
      </c>
      <c r="U47" s="486"/>
      <c r="V47" s="486" t="str">
        <f>IF(AND('Mapa final'!$S$23="Muy Baja",'Mapa final'!$W$23="Menor"),CONCATENATE("R",'Mapa final'!$A$23),"")</f>
        <v/>
      </c>
      <c r="W47" s="487"/>
      <c r="X47" s="467" t="str">
        <f>IF(AND('Mapa final'!$S$21="Muy Baja",'Mapa final'!$W$21="Moderado"),CONCATENATE("R",'Mapa final'!$A$21),"")</f>
        <v/>
      </c>
      <c r="Y47" s="468"/>
      <c r="Z47" s="468" t="str">
        <f>IF(AND('Mapa final'!$S$22="Muy Baja",'Mapa final'!$W$22="Moderado"),CONCATENATE("R",'Mapa final'!$A$22),"")</f>
        <v/>
      </c>
      <c r="AA47" s="468"/>
      <c r="AB47" s="468" t="str">
        <f>IF(AND('Mapa final'!$S$23="Muy Baja",'Mapa final'!$W$23="Moderado"),CONCATENATE("R",'Mapa final'!$A$23),"")</f>
        <v/>
      </c>
      <c r="AC47" s="479"/>
      <c r="AD47" s="458" t="str">
        <f>IF(AND('Mapa final'!$S$21="Muy Baja",'Mapa final'!$W$21="Mayor"),CONCATENATE("R",'Mapa final'!$A$21),"")</f>
        <v/>
      </c>
      <c r="AE47" s="454"/>
      <c r="AF47" s="454" t="str">
        <f>IF(AND('Mapa final'!$S$22="Muy Baja",'Mapa final'!$W$22="Mayor"),CONCATENATE("R",'Mapa final'!$A$22),"")</f>
        <v/>
      </c>
      <c r="AG47" s="454"/>
      <c r="AH47" s="454" t="str">
        <f>IF(AND('Mapa final'!$S$23="Muy Baja",'Mapa final'!$W$23="Mayor"),CONCATENATE("R",'Mapa final'!$A$23),"")</f>
        <v/>
      </c>
      <c r="AI47" s="455"/>
      <c r="AJ47" s="470" t="str">
        <f>IF(AND('Mapa final'!$S$21="Muy Baja",'Mapa final'!$W$21="Catastrófico"),CONCATENATE("R",'Mapa final'!$A$21),"")</f>
        <v/>
      </c>
      <c r="AK47" s="471"/>
      <c r="AL47" s="471" t="str">
        <f>IF(AND('Mapa final'!$S$22="Muy Baja",'Mapa final'!$W$22="Catastrófico"),CONCATENATE("R",'Mapa final'!$A$22),"")</f>
        <v/>
      </c>
      <c r="AM47" s="471"/>
      <c r="AN47" s="471" t="str">
        <f>IF(AND('Mapa final'!$S$23="Muy Baja",'Mapa final'!$W$23="Catastrófico"),CONCATENATE("R",'Mapa final'!$A$23),"")</f>
        <v/>
      </c>
      <c r="AO47" s="472"/>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c r="C48" s="69"/>
      <c r="D48" s="409"/>
      <c r="E48" s="409"/>
      <c r="F48" s="410"/>
      <c r="G48" s="449"/>
      <c r="H48" s="450"/>
      <c r="I48" s="450"/>
      <c r="J48" s="450"/>
      <c r="K48" s="450"/>
      <c r="L48" s="488"/>
      <c r="M48" s="486"/>
      <c r="N48" s="486"/>
      <c r="O48" s="486"/>
      <c r="P48" s="486"/>
      <c r="Q48" s="487"/>
      <c r="R48" s="488"/>
      <c r="S48" s="486"/>
      <c r="T48" s="486"/>
      <c r="U48" s="486"/>
      <c r="V48" s="486"/>
      <c r="W48" s="487"/>
      <c r="X48" s="467"/>
      <c r="Y48" s="468"/>
      <c r="Z48" s="468"/>
      <c r="AA48" s="468"/>
      <c r="AB48" s="468"/>
      <c r="AC48" s="479"/>
      <c r="AD48" s="458"/>
      <c r="AE48" s="454"/>
      <c r="AF48" s="454"/>
      <c r="AG48" s="454"/>
      <c r="AH48" s="454"/>
      <c r="AI48" s="455"/>
      <c r="AJ48" s="470"/>
      <c r="AK48" s="471"/>
      <c r="AL48" s="471"/>
      <c r="AM48" s="471"/>
      <c r="AN48" s="471"/>
      <c r="AO48" s="472"/>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c r="C49" s="69"/>
      <c r="D49" s="409"/>
      <c r="E49" s="409"/>
      <c r="F49" s="410"/>
      <c r="G49" s="449"/>
      <c r="H49" s="450"/>
      <c r="I49" s="450"/>
      <c r="J49" s="450"/>
      <c r="K49" s="450"/>
      <c r="L49" s="488" t="str">
        <f>IF(AND('Mapa final'!$S$24="Muy Baja",'Mapa final'!$W$24="Leve"),CONCATENATE("R",'Mapa final'!$A$24),"")</f>
        <v/>
      </c>
      <c r="M49" s="486"/>
      <c r="N49" s="486" t="str">
        <f>IF(AND('Mapa final'!$N$25="Muy Baja",'Mapa final'!$R$25="Leve"),CONCATENATE("R",'Mapa final'!$A$25),"")</f>
        <v/>
      </c>
      <c r="O49" s="486"/>
      <c r="P49" s="486" t="str">
        <f>IF(AND('Mapa final'!$N$26="Muy Baja",'Mapa final'!$R$26="Leve"),CONCATENATE("R",'Mapa final'!$A$26),"")</f>
        <v/>
      </c>
      <c r="Q49" s="487"/>
      <c r="R49" s="486" t="str">
        <f>IF(AND('Mapa final'!$S$24="Muy Baja",'Mapa final'!$W$24="Menor"),CONCATENATE("R",'Mapa final'!$A$24),"")</f>
        <v/>
      </c>
      <c r="S49" s="486"/>
      <c r="T49" s="486" t="str">
        <f>IF(AND('Mapa final'!$S$25="Muy Baja",'Mapa final'!$W$25="Menor"),CONCATENATE("R",'Mapa final'!$A$25),"")</f>
        <v/>
      </c>
      <c r="U49" s="486"/>
      <c r="V49" s="486" t="str">
        <f>IF(AND('Mapa final'!$S$26="Muy Baja",'Mapa final'!$W$26="Menor"),CONCATENATE("R",'Mapa final'!$A$26),"")</f>
        <v/>
      </c>
      <c r="W49" s="487"/>
      <c r="X49" s="467" t="str">
        <f>IF(AND('Mapa final'!$S$24="Muy Baja",'Mapa final'!$W$24="Moderado"),CONCATENATE("R",'Mapa final'!$A$24),"")</f>
        <v/>
      </c>
      <c r="Y49" s="468"/>
      <c r="Z49" s="468" t="str">
        <f>IF(AND('Mapa final'!$S$25="Muy Baja",'Mapa final'!$W$25="Moderado"),CONCATENATE("R",'Mapa final'!$A$25),"")</f>
        <v/>
      </c>
      <c r="AA49" s="468"/>
      <c r="AB49" s="468" t="str">
        <f>IF(AND('Mapa final'!$S$26="Muy Baja",'Mapa final'!$W$26="Moderado"),CONCATENATE("R",'Mapa final'!$A$26),"")</f>
        <v/>
      </c>
      <c r="AC49" s="479"/>
      <c r="AD49" s="458" t="str">
        <f>IF(AND('Mapa final'!$S$24="Muy Baja",'Mapa final'!$W$24="Mayor"),CONCATENATE("R",'Mapa final'!$A$24),"")</f>
        <v/>
      </c>
      <c r="AE49" s="454"/>
      <c r="AF49" s="454" t="str">
        <f>IF(AND('Mapa final'!$S$25="Muy Baja",'Mapa final'!$W$25="Mayor"),CONCATENATE("R",'Mapa final'!$A$25),"")</f>
        <v/>
      </c>
      <c r="AG49" s="454"/>
      <c r="AH49" s="454" t="str">
        <f>IF(AND('Mapa final'!$S$26="Muy Baja",'Mapa final'!$W$26="Mayor"),CONCATENATE("R",'Mapa final'!$A$26),"")</f>
        <v/>
      </c>
      <c r="AI49" s="455"/>
      <c r="AJ49" s="470" t="str">
        <f>IF(AND('Mapa final'!$S$24="Muy Baja",'Mapa final'!$W$24="Catastrófico"),CONCATENATE("R",'Mapa final'!$A$24),"")</f>
        <v/>
      </c>
      <c r="AK49" s="471"/>
      <c r="AL49" s="471" t="str">
        <f>IF(AND('Mapa final'!$S$25="Muy Baja",'Mapa final'!$W$25="Catastrófico"),CONCATENATE("R",'Mapa final'!$A$25),"")</f>
        <v/>
      </c>
      <c r="AM49" s="471"/>
      <c r="AN49" s="471" t="str">
        <f>IF(AND('Mapa final'!$S$26="Muy Baja",'Mapa final'!$W$26="Catastrófico"),CONCATENATE("R",'Mapa final'!$A$26),"")</f>
        <v/>
      </c>
      <c r="AO49" s="472"/>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c r="C50" s="69"/>
      <c r="D50" s="409"/>
      <c r="E50" s="409"/>
      <c r="F50" s="410"/>
      <c r="G50" s="451"/>
      <c r="H50" s="452"/>
      <c r="I50" s="452"/>
      <c r="J50" s="452"/>
      <c r="K50" s="452"/>
      <c r="L50" s="489"/>
      <c r="M50" s="490"/>
      <c r="N50" s="490"/>
      <c r="O50" s="490"/>
      <c r="P50" s="490"/>
      <c r="Q50" s="491"/>
      <c r="R50" s="490"/>
      <c r="S50" s="490"/>
      <c r="T50" s="490"/>
      <c r="U50" s="490"/>
      <c r="V50" s="490"/>
      <c r="W50" s="491"/>
      <c r="X50" s="480"/>
      <c r="Y50" s="481"/>
      <c r="Z50" s="481"/>
      <c r="AA50" s="481"/>
      <c r="AB50" s="481"/>
      <c r="AC50" s="482"/>
      <c r="AD50" s="459"/>
      <c r="AE50" s="460"/>
      <c r="AF50" s="460"/>
      <c r="AG50" s="460"/>
      <c r="AH50" s="460"/>
      <c r="AI50" s="461"/>
      <c r="AJ50" s="473"/>
      <c r="AK50" s="474"/>
      <c r="AL50" s="474"/>
      <c r="AM50" s="474"/>
      <c r="AN50" s="474"/>
      <c r="AO50" s="475"/>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c r="C51" s="69"/>
      <c r="D51" s="69"/>
      <c r="E51" s="69"/>
      <c r="F51" s="69"/>
      <c r="G51" s="69"/>
      <c r="H51" s="69"/>
      <c r="I51" s="69"/>
      <c r="J51" s="69"/>
      <c r="K51" s="69"/>
      <c r="L51" s="462" t="s">
        <v>288</v>
      </c>
      <c r="M51" s="450"/>
      <c r="N51" s="450"/>
      <c r="O51" s="450"/>
      <c r="P51" s="450"/>
      <c r="Q51" s="463"/>
      <c r="R51" s="447" t="s">
        <v>289</v>
      </c>
      <c r="S51" s="448"/>
      <c r="T51" s="448"/>
      <c r="U51" s="448"/>
      <c r="V51" s="448"/>
      <c r="W51" s="465"/>
      <c r="X51" s="447" t="s">
        <v>290</v>
      </c>
      <c r="Y51" s="448"/>
      <c r="Z51" s="448"/>
      <c r="AA51" s="448"/>
      <c r="AB51" s="448"/>
      <c r="AC51" s="465"/>
      <c r="AD51" s="447" t="s">
        <v>291</v>
      </c>
      <c r="AE51" s="469"/>
      <c r="AF51" s="448"/>
      <c r="AG51" s="448"/>
      <c r="AH51" s="448"/>
      <c r="AI51" s="465"/>
      <c r="AJ51" s="447" t="s">
        <v>292</v>
      </c>
      <c r="AK51" s="448"/>
      <c r="AL51" s="448"/>
      <c r="AM51" s="448"/>
      <c r="AN51" s="448"/>
      <c r="AO51" s="465"/>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c r="C52" s="69"/>
      <c r="D52" s="69"/>
      <c r="E52" s="69"/>
      <c r="F52" s="69"/>
      <c r="G52" s="69"/>
      <c r="H52" s="69"/>
      <c r="I52" s="69"/>
      <c r="J52" s="69"/>
      <c r="K52" s="69"/>
      <c r="L52" s="449"/>
      <c r="M52" s="450"/>
      <c r="N52" s="450"/>
      <c r="O52" s="450"/>
      <c r="P52" s="450"/>
      <c r="Q52" s="463"/>
      <c r="R52" s="449"/>
      <c r="S52" s="450"/>
      <c r="T52" s="450"/>
      <c r="U52" s="450"/>
      <c r="V52" s="450"/>
      <c r="W52" s="463"/>
      <c r="X52" s="449"/>
      <c r="Y52" s="450"/>
      <c r="Z52" s="450"/>
      <c r="AA52" s="450"/>
      <c r="AB52" s="450"/>
      <c r="AC52" s="463"/>
      <c r="AD52" s="449"/>
      <c r="AE52" s="450"/>
      <c r="AF52" s="450"/>
      <c r="AG52" s="450"/>
      <c r="AH52" s="450"/>
      <c r="AI52" s="463"/>
      <c r="AJ52" s="449"/>
      <c r="AK52" s="450"/>
      <c r="AL52" s="450"/>
      <c r="AM52" s="450"/>
      <c r="AN52" s="450"/>
      <c r="AO52" s="463"/>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c r="C53" s="69"/>
      <c r="D53" s="69"/>
      <c r="E53" s="69"/>
      <c r="F53" s="69"/>
      <c r="G53" s="69"/>
      <c r="H53" s="69"/>
      <c r="I53" s="69"/>
      <c r="J53" s="69"/>
      <c r="K53" s="69"/>
      <c r="L53" s="449"/>
      <c r="M53" s="450"/>
      <c r="N53" s="450"/>
      <c r="O53" s="450"/>
      <c r="P53" s="450"/>
      <c r="Q53" s="463"/>
      <c r="R53" s="449"/>
      <c r="S53" s="450"/>
      <c r="T53" s="450"/>
      <c r="U53" s="450"/>
      <c r="V53" s="450"/>
      <c r="W53" s="463"/>
      <c r="X53" s="449"/>
      <c r="Y53" s="450"/>
      <c r="Z53" s="450"/>
      <c r="AA53" s="450"/>
      <c r="AB53" s="450"/>
      <c r="AC53" s="463"/>
      <c r="AD53" s="449"/>
      <c r="AE53" s="450"/>
      <c r="AF53" s="450"/>
      <c r="AG53" s="450"/>
      <c r="AH53" s="450"/>
      <c r="AI53" s="463"/>
      <c r="AJ53" s="449"/>
      <c r="AK53" s="450"/>
      <c r="AL53" s="450"/>
      <c r="AM53" s="450"/>
      <c r="AN53" s="450"/>
      <c r="AO53" s="463"/>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c r="C54" s="69"/>
      <c r="D54" s="69"/>
      <c r="E54" s="69"/>
      <c r="F54" s="69"/>
      <c r="G54" s="69"/>
      <c r="H54" s="69"/>
      <c r="I54" s="69"/>
      <c r="J54" s="69"/>
      <c r="K54" s="69"/>
      <c r="L54" s="449"/>
      <c r="M54" s="450"/>
      <c r="N54" s="450"/>
      <c r="O54" s="450"/>
      <c r="P54" s="450"/>
      <c r="Q54" s="463"/>
      <c r="R54" s="449"/>
      <c r="S54" s="450"/>
      <c r="T54" s="450"/>
      <c r="U54" s="450"/>
      <c r="V54" s="450"/>
      <c r="W54" s="463"/>
      <c r="X54" s="449"/>
      <c r="Y54" s="450"/>
      <c r="Z54" s="450"/>
      <c r="AA54" s="450"/>
      <c r="AB54" s="450"/>
      <c r="AC54" s="463"/>
      <c r="AD54" s="449"/>
      <c r="AE54" s="450"/>
      <c r="AF54" s="450"/>
      <c r="AG54" s="450"/>
      <c r="AH54" s="450"/>
      <c r="AI54" s="463"/>
      <c r="AJ54" s="449"/>
      <c r="AK54" s="450"/>
      <c r="AL54" s="450"/>
      <c r="AM54" s="450"/>
      <c r="AN54" s="450"/>
      <c r="AO54" s="463"/>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c r="C55" s="69"/>
      <c r="D55" s="69"/>
      <c r="E55" s="69"/>
      <c r="F55" s="69"/>
      <c r="G55" s="69"/>
      <c r="H55" s="69"/>
      <c r="I55" s="69"/>
      <c r="J55" s="69"/>
      <c r="K55" s="69"/>
      <c r="L55" s="449"/>
      <c r="M55" s="450"/>
      <c r="N55" s="450"/>
      <c r="O55" s="450"/>
      <c r="P55" s="450"/>
      <c r="Q55" s="463"/>
      <c r="R55" s="449"/>
      <c r="S55" s="450"/>
      <c r="T55" s="450"/>
      <c r="U55" s="450"/>
      <c r="V55" s="450"/>
      <c r="W55" s="463"/>
      <c r="X55" s="449"/>
      <c r="Y55" s="450"/>
      <c r="Z55" s="450"/>
      <c r="AA55" s="450"/>
      <c r="AB55" s="450"/>
      <c r="AC55" s="463"/>
      <c r="AD55" s="449"/>
      <c r="AE55" s="450"/>
      <c r="AF55" s="450"/>
      <c r="AG55" s="450"/>
      <c r="AH55" s="450"/>
      <c r="AI55" s="463"/>
      <c r="AJ55" s="449"/>
      <c r="AK55" s="450"/>
      <c r="AL55" s="450"/>
      <c r="AM55" s="450"/>
      <c r="AN55" s="450"/>
      <c r="AO55" s="463"/>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c r="C56" s="69"/>
      <c r="D56" s="69"/>
      <c r="E56" s="69"/>
      <c r="F56" s="69"/>
      <c r="G56" s="69"/>
      <c r="H56" s="69"/>
      <c r="I56" s="69"/>
      <c r="J56" s="69"/>
      <c r="K56" s="69"/>
      <c r="L56" s="451"/>
      <c r="M56" s="452"/>
      <c r="N56" s="452"/>
      <c r="O56" s="452"/>
      <c r="P56" s="452"/>
      <c r="Q56" s="464"/>
      <c r="R56" s="451"/>
      <c r="S56" s="452"/>
      <c r="T56" s="452"/>
      <c r="U56" s="452"/>
      <c r="V56" s="452"/>
      <c r="W56" s="464"/>
      <c r="X56" s="451"/>
      <c r="Y56" s="452"/>
      <c r="Z56" s="452"/>
      <c r="AA56" s="452"/>
      <c r="AB56" s="452"/>
      <c r="AC56" s="464"/>
      <c r="AD56" s="451"/>
      <c r="AE56" s="452"/>
      <c r="AF56" s="452"/>
      <c r="AG56" s="452"/>
      <c r="AH56" s="452"/>
      <c r="AI56" s="464"/>
      <c r="AJ56" s="451"/>
      <c r="AK56" s="452"/>
      <c r="AL56" s="452"/>
      <c r="AM56" s="452"/>
      <c r="AN56" s="452"/>
      <c r="AO56" s="464"/>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c r="C67" s="69"/>
      <c r="D67" s="69"/>
      <c r="E67" s="69"/>
      <c r="F67" s="69"/>
      <c r="G67" s="69"/>
      <c r="H67" s="69" t="s">
        <v>293</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c r="D142" s="69"/>
      <c r="E142" s="69"/>
      <c r="F142" s="69"/>
      <c r="G142" s="69"/>
      <c r="H142" s="69"/>
      <c r="I142" s="69"/>
      <c r="J142" s="69"/>
      <c r="K142" s="69"/>
    </row>
    <row r="143" spans="4:65">
      <c r="D143" s="69"/>
      <c r="E143" s="69"/>
      <c r="F143" s="69"/>
      <c r="G143" s="69"/>
      <c r="H143" s="69"/>
      <c r="I143" s="69"/>
      <c r="J143" s="69"/>
      <c r="K143" s="69"/>
    </row>
    <row r="144" spans="4:65">
      <c r="D144" s="69"/>
      <c r="E144" s="69"/>
      <c r="F144" s="69"/>
      <c r="G144" s="69"/>
      <c r="H144" s="69"/>
      <c r="I144" s="69"/>
      <c r="J144" s="69"/>
      <c r="K144" s="69"/>
    </row>
    <row r="145" spans="4:11">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37" activePane="bottomLeft" state="frozen"/>
      <selection pane="bottomLeft"/>
    </sheetView>
  </sheetViews>
  <sheetFormatPr defaultColWidth="11.42578125" defaultRowHeight="15"/>
  <cols>
    <col min="3" max="10" width="5.7109375" customWidth="1"/>
    <col min="11" max="11" width="13.28515625" customWidth="1"/>
    <col min="12" max="12" width="12" customWidth="1"/>
    <col min="13" max="13" width="11.140625" customWidth="1"/>
    <col min="14" max="14" width="9.5703125" customWidth="1"/>
    <col min="15" max="15" width="5.7109375" customWidth="1"/>
    <col min="16" max="16" width="10.42578125" customWidth="1"/>
    <col min="17" max="19" width="5.7109375" customWidth="1"/>
    <col min="20" max="20" width="6.7109375" customWidth="1"/>
    <col min="21" max="24" width="5.7109375" customWidth="1"/>
    <col min="25" max="25" width="8.42578125" customWidth="1"/>
    <col min="26" max="27" width="5.7109375" customWidth="1"/>
    <col min="28" max="29" width="10.7109375" customWidth="1"/>
    <col min="30" max="30" width="7.42578125" customWidth="1"/>
    <col min="31" max="34" width="5.7109375" customWidth="1"/>
    <col min="35" max="35" width="8.42578125" customWidth="1"/>
    <col min="36" max="40" width="5.7109375" customWidth="1"/>
    <col min="42" max="47" width="5.7109375" customWidth="1"/>
  </cols>
  <sheetData>
    <row r="1" spans="1:92" ht="15.75" thickBot="1"/>
    <row r="2" spans="1:92">
      <c r="C2" s="400" t="s">
        <v>274</v>
      </c>
      <c r="D2" s="401"/>
      <c r="E2" s="401"/>
      <c r="F2" s="401"/>
      <c r="G2" s="401"/>
      <c r="H2" s="401"/>
      <c r="I2" s="401"/>
      <c r="J2" s="402"/>
      <c r="K2" s="391" t="s">
        <v>1</v>
      </c>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3"/>
      <c r="AO2" s="291" t="s">
        <v>10</v>
      </c>
      <c r="AP2" s="388"/>
      <c r="AQ2" s="388"/>
      <c r="AR2" s="388"/>
      <c r="AS2" s="388"/>
      <c r="AT2" s="388"/>
      <c r="AU2" s="265"/>
    </row>
    <row r="3" spans="1:92">
      <c r="C3" s="403"/>
      <c r="D3" s="404"/>
      <c r="E3" s="404"/>
      <c r="F3" s="404"/>
      <c r="G3" s="404"/>
      <c r="H3" s="404"/>
      <c r="I3" s="404"/>
      <c r="J3" s="405"/>
      <c r="K3" s="394"/>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6"/>
      <c r="AO3" s="292" t="s">
        <v>4</v>
      </c>
      <c r="AP3" s="389"/>
      <c r="AQ3" s="389"/>
      <c r="AR3" s="389"/>
      <c r="AS3" s="389"/>
      <c r="AT3" s="389"/>
      <c r="AU3" s="267"/>
    </row>
    <row r="4" spans="1:92">
      <c r="C4" s="403"/>
      <c r="D4" s="404"/>
      <c r="E4" s="404"/>
      <c r="F4" s="404"/>
      <c r="G4" s="404"/>
      <c r="H4" s="404"/>
      <c r="I4" s="404"/>
      <c r="J4" s="405"/>
      <c r="K4" s="394"/>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6"/>
      <c r="AO4" s="292" t="s">
        <v>5</v>
      </c>
      <c r="AP4" s="389" t="s">
        <v>276</v>
      </c>
      <c r="AQ4" s="389"/>
      <c r="AR4" s="389"/>
      <c r="AS4" s="389"/>
      <c r="AT4" s="389"/>
      <c r="AU4" s="267"/>
    </row>
    <row r="5" spans="1:92" ht="15.75" thickBot="1">
      <c r="C5" s="406"/>
      <c r="D5" s="407"/>
      <c r="E5" s="407"/>
      <c r="F5" s="407"/>
      <c r="G5" s="407"/>
      <c r="H5" s="407"/>
      <c r="I5" s="407"/>
      <c r="J5" s="408"/>
      <c r="K5" s="397"/>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9"/>
      <c r="AO5" s="293" t="s">
        <v>6</v>
      </c>
      <c r="AP5" s="390" t="s">
        <v>6</v>
      </c>
      <c r="AQ5" s="390"/>
      <c r="AR5" s="390"/>
      <c r="AS5" s="390"/>
      <c r="AT5" s="390"/>
      <c r="AU5" s="269"/>
    </row>
    <row r="7" spans="1:92">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c r="A8" s="547" t="s">
        <v>11</v>
      </c>
      <c r="B8" s="547"/>
      <c r="C8" s="526" t="s">
        <v>294</v>
      </c>
      <c r="D8" s="527"/>
      <c r="E8" s="527"/>
      <c r="F8" s="527"/>
      <c r="G8" s="527"/>
      <c r="H8" s="527"/>
      <c r="I8" s="527"/>
      <c r="J8" s="527"/>
      <c r="K8" s="528" t="s">
        <v>59</v>
      </c>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c r="B9" s="69"/>
      <c r="C9" s="527"/>
      <c r="D9" s="527"/>
      <c r="E9" s="527"/>
      <c r="F9" s="527"/>
      <c r="G9" s="527"/>
      <c r="H9" s="527"/>
      <c r="I9" s="527"/>
      <c r="J9" s="527"/>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c r="B10" s="69"/>
      <c r="C10" s="527"/>
      <c r="D10" s="527"/>
      <c r="E10" s="527"/>
      <c r="F10" s="527"/>
      <c r="G10" s="527"/>
      <c r="H10" s="527"/>
      <c r="I10" s="527"/>
      <c r="J10" s="527"/>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c r="B12" s="69"/>
      <c r="C12" s="409" t="s">
        <v>278</v>
      </c>
      <c r="D12" s="409"/>
      <c r="E12" s="410"/>
      <c r="F12" s="498" t="s">
        <v>279</v>
      </c>
      <c r="G12" s="499"/>
      <c r="H12" s="499"/>
      <c r="I12" s="499"/>
      <c r="J12" s="499"/>
      <c r="K12" s="32" t="str">
        <f>IF(AND('Mapa final'!$AL$15="Muy Alta",'Mapa final'!$AN$15="Leve"),CONCATENATE("R2C",'Mapa final'!$U$15),"")</f>
        <v/>
      </c>
      <c r="L12" s="33" t="str">
        <f>IF(AND('Mapa final'!$AL$16="Muy Alta",'Mapa final'!$AN$16="Leve"),CONCATENATE("R2C",'Mapa final'!$U$16),"")</f>
        <v/>
      </c>
      <c r="M12" s="33" t="str">
        <f>IF(AND('Mapa final'!$AL$23="Muy Alta",'Mapa final'!$AN$23="Leve"),CONCATENATE("R2C",'Mapa final'!$U$23),"")</f>
        <v/>
      </c>
      <c r="N12" s="33" t="str">
        <f>IF(AND('Mapa final'!$AL$24="Muy Alta",'Mapa final'!$AN$24="Leve"),CONCATENATE("R2C",'Mapa final'!$U$24),"")</f>
        <v/>
      </c>
      <c r="O12" s="33" t="str">
        <f>IF(AND('Mapa final'!$AL$25="Muy Alta",'Mapa final'!$AN$25="Leve"),CONCATENATE("R2C",'Mapa final'!$U$25),"")</f>
        <v/>
      </c>
      <c r="P12" s="34" t="str">
        <f>IF(AND('Mapa final'!$AL$18="Muy Alta",'Mapa final'!$AN$18="Leve"),CONCATENATE("R2C",'Mapa final'!$U$18),"")</f>
        <v/>
      </c>
      <c r="Q12" s="32" t="str">
        <f>IF(AND('Mapa final'!$AL$15="Muy Alta",'Mapa final'!$AN$15="Menor"),CONCATENATE("R2C",'Mapa final'!$U$15),"")</f>
        <v/>
      </c>
      <c r="R12" s="33" t="str">
        <f>IF(AND('Mapa final'!$AL$16="Muy Alta",'Mapa final'!$AN$16="Menore"),CONCATENATE("R2C",'Mapa final'!$U$16),"")</f>
        <v/>
      </c>
      <c r="S12" s="33" t="str">
        <f>IF(AND('Mapa final'!$AL$23="Muy Alta",'Mapa final'!$AN$23="Menor"),CONCATENATE("R2C",'Mapa final'!$U$23),"")</f>
        <v/>
      </c>
      <c r="T12" s="33" t="str">
        <f>IF(AND('Mapa final'!$AL$24="Muy Alta",'Mapa final'!$AN$24="Menor"),CONCATENATE("R2C",'Mapa final'!$U$24),"")</f>
        <v/>
      </c>
      <c r="U12" s="33" t="str">
        <f>IF(AND('Mapa final'!$AL$25="Muy Alta",'Mapa final'!$AN$25="Menor"),CONCATENATE("R2C",'Mapa final'!$U$25),"")</f>
        <v/>
      </c>
      <c r="V12" s="34" t="str">
        <f>IF(AND('Mapa final'!$AL$18="Muy Alta",'Mapa final'!$AN$18="Menor"),CONCATENATE("R2C",'Mapa final'!$U$18),"")</f>
        <v/>
      </c>
      <c r="W12" s="32" t="str">
        <f>IF(AND('Mapa final'!$AL$15="Muy Alta",'Mapa final'!$AN$15="Moderado"),CONCATENATE("R2C",'Mapa final'!$U$15),"")</f>
        <v/>
      </c>
      <c r="X12" s="33" t="str">
        <f>IF(AND('Mapa final'!$AL$16="Muy Alta",'Mapa final'!$AN$16="Moderado"),CONCATENATE("R2C",'Mapa final'!$U$16),"")</f>
        <v/>
      </c>
      <c r="Y12" s="33"/>
      <c r="Z12" s="33" t="str">
        <f>IF(AND('Mapa final'!$AL$17="Muy Alta",'Mapa final'!$AN$17="Moderado"),CONCATENATE("R2C",'Mapa final'!$U$17),"")</f>
        <v/>
      </c>
      <c r="AA12" s="33" t="str">
        <f>IF(AND('Mapa final'!$AL$31="Muy Alta",'Mapa final'!$AN$31="Moderado"),CONCATENATE("R2C",'Mapa final'!$U$31),"")</f>
        <v/>
      </c>
      <c r="AB12" s="34" t="str">
        <f>IF(AND('Mapa final'!$AL$18="Muy Alta",'Mapa final'!$AN$18="Moderado"),CONCATENATE("R2C",'Mapa final'!$U$18),"")</f>
        <v/>
      </c>
      <c r="AC12" s="32" t="str">
        <f>IF(AND('Mapa final'!$AL$15="Muy Alta",'Mapa final'!$AN$15="Mayor"),CONCATENATE("R2C",'Mapa final'!$U$15),"")</f>
        <v/>
      </c>
      <c r="AD12" s="33" t="str">
        <f>IF(AND('Mapa final'!$AL$16="Muy Alta",'Mapa final'!$AN$16="Mayor"),CONCATENATE("R2C",'Mapa final'!$U$16),"")</f>
        <v/>
      </c>
      <c r="AE12" s="33" t="str">
        <f>IF(AND('Mapa final'!$AL$29="Muy Alta",'Mapa final'!$AN$29="Mayor"),CONCATENATE("R2C",'Mapa final'!$U$29),"")</f>
        <v/>
      </c>
      <c r="AF12" s="33" t="str">
        <f>IF(AND('Mapa final'!$AL$30="Muy Alta",'Mapa final'!$AN$30="Mayor"),CONCATENATE("R2C",'Mapa final'!$U$30),"")</f>
        <v/>
      </c>
      <c r="AG12" s="33" t="str">
        <f>IF(AND('Mapa final'!$AL$31="Muy Alta",'Mapa final'!$AN$31="Mayor"),CONCATENATE("R2C",'Mapa final'!$U$31),"")</f>
        <v/>
      </c>
      <c r="AH12" s="34" t="str">
        <f>IF(AND('Mapa final'!$AL$32="Muy Alta",'Mapa final'!$AN$32="Mayor"),CONCATENATE("R2C",'Mapa final'!$U$32),"")</f>
        <v/>
      </c>
      <c r="AI12" s="35" t="str">
        <f>IF(AND('Mapa final'!$AL$15="Muy Alta",'Mapa final'!$AN$15="Catastrófico"),CONCATENATE("R2C",'Mapa final'!$U$15),"")</f>
        <v/>
      </c>
      <c r="AJ12" s="36" t="str">
        <f>IF(AND('Mapa final'!$AL$28="Muy Alta",'Mapa final'!$AN$28="Catastrófico"),CONCATENATE("R2C",'Mapa final'!$U$28),"")</f>
        <v/>
      </c>
      <c r="AK12" s="36" t="str">
        <f>IF(AND('Mapa final'!$AL$29="Muy Alta",'Mapa final'!$AN$29="Catastrófico"),CONCATENATE("R2C",'Mapa final'!$U$29),"")</f>
        <v/>
      </c>
      <c r="AL12" s="36" t="str">
        <f>IF(AND('Mapa final'!$AL$30="Muy Alta",'Mapa final'!$AN$30="Catastrófico"),CONCATENATE("R2C",'Mapa final'!$U$30),"")</f>
        <v/>
      </c>
      <c r="AM12" s="36" t="str">
        <f>IF(AND('Mapa final'!$AL$31="Muy Alta",'Mapa final'!$AN$31="Catastrófico"),CONCATENATE("R2C",'Mapa final'!$U$31),"")</f>
        <v/>
      </c>
      <c r="AN12" s="37" t="str">
        <f>IF(AND('Mapa final'!$AL$32="Muy Alta",'Mapa final'!$AN$32="Catastrófico"),CONCATENATE("R2C",'Mapa final'!$U$32),"")</f>
        <v/>
      </c>
      <c r="AO12" s="69"/>
      <c r="AP12" s="517" t="s">
        <v>280</v>
      </c>
      <c r="AQ12" s="518"/>
      <c r="AR12" s="518"/>
      <c r="AS12" s="518"/>
      <c r="AT12" s="518"/>
      <c r="AU12" s="51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c r="B13" s="69"/>
      <c r="C13" s="409"/>
      <c r="D13" s="409"/>
      <c r="E13" s="410"/>
      <c r="F13" s="501"/>
      <c r="G13" s="502"/>
      <c r="H13" s="502"/>
      <c r="I13" s="502"/>
      <c r="J13" s="502"/>
      <c r="K13" s="38" t="str">
        <f>IF(AND('Mapa final'!$AL$21="Muy Alta",'Mapa final'!$AN$21="Leve"),CONCATENATE("R2C",'Mapa final'!$U$21),"")</f>
        <v/>
      </c>
      <c r="L13" s="39" t="str">
        <f>IF(AND('Mapa final'!$AL$22="Muy Alta",'Mapa final'!$AN$22="Leve"),CONCATENATE("R2C",'Mapa final'!$U$22),"")</f>
        <v/>
      </c>
      <c r="M13" s="39" t="str">
        <f>IF(AND('Mapa final'!$AL$23="Muy Alta",'Mapa final'!$AN$23="Leve"),CONCATENATE("R2C",'Mapa final'!$U$23),"")</f>
        <v/>
      </c>
      <c r="N13" s="39" t="str">
        <f>IF(AND('Mapa final'!$AL$24="Muy Alta",'Mapa final'!$AN$24="Leve"),CONCATENATE("R2C",'Mapa final'!$U$24),"")</f>
        <v/>
      </c>
      <c r="O13" s="39" t="str">
        <f>IF(AND('Mapa final'!$AL$25="Muy Alta",'Mapa final'!$AN$25="Leve"),CONCATENATE("R2C",'Mapa final'!$U$25),"")</f>
        <v/>
      </c>
      <c r="P13" s="40" t="str">
        <f>IF(AND('Mapa final'!$AL$26="Muy Alta",'Mapa final'!$AN$26="Leve"),CONCATENATE("R2C",'Mapa final'!$U$26),"")</f>
        <v/>
      </c>
      <c r="Q13" s="38" t="str">
        <f>IF(AND('Mapa final'!$AL$21="Muy Alta",'Mapa final'!$AN$21="Menor"),CONCATENATE("R2C",'Mapa final'!$U$21),"")</f>
        <v/>
      </c>
      <c r="R13" s="39" t="str">
        <f>IF(AND('Mapa final'!$AL$22="Muy Alta",'Mapa final'!$AN$22="Menor"),CONCATENATE("R2C",'Mapa final'!$U$22),"")</f>
        <v/>
      </c>
      <c r="S13" s="39" t="str">
        <f>IF(AND('Mapa final'!$AL$23="Muy Alta",'Mapa final'!$AN$23="Menor"),CONCATENATE("R2C",'Mapa final'!$U$23),"")</f>
        <v/>
      </c>
      <c r="T13" s="39" t="str">
        <f>IF(AND('Mapa final'!$AL$24="Muy Alta",'Mapa final'!$AN$24="Menor"),CONCATENATE("R2C",'Mapa final'!$U$24),"")</f>
        <v/>
      </c>
      <c r="U13" s="39" t="str">
        <f>IF(AND('Mapa final'!$AL$25="Muy Alta",'Mapa final'!$AN$25="Menor"),CONCATENATE("R2C",'Mapa final'!$U$25),"")</f>
        <v/>
      </c>
      <c r="V13" s="40" t="str">
        <f>IF(AND('Mapa final'!$AL$26="Muy Alta",'Mapa final'!$AN$26="Menor"),CONCATENATE("R2C",'Mapa final'!$U$26),"")</f>
        <v/>
      </c>
      <c r="W13" s="38" t="str">
        <f>IF(AND('Mapa final'!$AL$21="Muy Alta",'Mapa final'!$AN$21="Moderado"),CONCATENATE("R2C",'Mapa final'!$U$21),"")</f>
        <v/>
      </c>
      <c r="X13" s="39" t="str">
        <f>IF(AND('Mapa final'!$AL$22="Muy Alta",'Mapa final'!$AN$22="Moderado"),CONCATENATE("R2C",'Mapa final'!$U$22),"")</f>
        <v/>
      </c>
      <c r="Y13" s="39" t="str">
        <f>IF(AND('Mapa final'!$AL$23="Muy Alta",'Mapa final'!$AN$23="Moderado"),CONCATENATE("R2C",'Mapa final'!$U$23),"")</f>
        <v/>
      </c>
      <c r="Z13" s="39" t="str">
        <f>IF(AND('Mapa final'!$AL$24="Muy Alta",'Mapa final'!$AN$24="Moderado"),CONCATENATE("R2C",'Mapa final'!$U$24),"")</f>
        <v/>
      </c>
      <c r="AA13" s="39" t="str">
        <f>IF(AND('Mapa final'!$AL$31="Muy Alta",'Mapa final'!$AN$31="Moderado"),CONCATENATE("R2C",'Mapa final'!$U$31),"")</f>
        <v/>
      </c>
      <c r="AB13" s="40" t="str">
        <f>IF(AND('Mapa final'!$AL$26="Muy Alta",'Mapa final'!$AN$26="Moderado"),CONCATENATE("R2C",'Mapa final'!$U$26),"")</f>
        <v/>
      </c>
      <c r="AC13" s="38" t="str">
        <f>IF(AND('Mapa final'!$AL$21="Muy Alta",'Mapa final'!$AN$21="Mayor"),CONCATENATE("R2C",'Mapa final'!$U$21),"")</f>
        <v/>
      </c>
      <c r="AD13" s="39" t="str">
        <f>IF(AND('Mapa final'!$AL$22="Muy Alta",'Mapa final'!$AN$22="Mayor"),CONCATENATE("R2C",'Mapa final'!$U$22),"")</f>
        <v/>
      </c>
      <c r="AE13" s="39" t="str">
        <f>IF(AND('Mapa final'!$AL$29="Muy Alta",'Mapa final'!$AN$29="Mayor"),CONCATENATE("R2C",'Mapa final'!$U$29),"")</f>
        <v/>
      </c>
      <c r="AF13" s="39" t="str">
        <f>IF(AND('Mapa final'!$AL$30="Muy Alta",'Mapa final'!$AN$30="Mayor"),CONCATENATE("R2C",'Mapa final'!$U$30),"")</f>
        <v/>
      </c>
      <c r="AG13" s="39" t="str">
        <f>IF(AND('Mapa final'!$AL$31="Muy Alta",'Mapa final'!$AN$31="Mayor"),CONCATENATE("R2C",'Mapa final'!$U$31),"")</f>
        <v/>
      </c>
      <c r="AH13" s="40" t="str">
        <f>IF(AND('Mapa final'!$AL$32="Muy Alta",'Mapa final'!$AN$32="Mayor"),CONCATENATE("R2C",'Mapa final'!$U$32),"")</f>
        <v/>
      </c>
      <c r="AI13" s="41" t="str">
        <f>IF(AND('Mapa final'!$AL$21="Muy Alta",'Mapa final'!$AN$21="Catastrófico"),CONCATENATE("R2C",'Mapa final'!$U$21),"")</f>
        <v/>
      </c>
      <c r="AJ13" s="42" t="str">
        <f>IF(AND('Mapa final'!$AL$34="Muy Alta",'Mapa final'!$AN$34="Catastrófico"),CONCATENATE("R2C",'Mapa final'!$U$34),"")</f>
        <v/>
      </c>
      <c r="AK13" s="42" t="str">
        <f>IF(AND('Mapa final'!$AL$35="Muy Alta",'Mapa final'!$AN$35="Catastrófico"),CONCATENATE("R2C",'Mapa final'!$U$35),"")</f>
        <v/>
      </c>
      <c r="AL13" s="42" t="str">
        <f>IF(AND('Mapa final'!$AL$36="Muy Alta",'Mapa final'!$AN$36="Catastrófico"),CONCATENATE("R2C",'Mapa final'!$U$36),"")</f>
        <v/>
      </c>
      <c r="AM13" s="42" t="str">
        <f>IF(AND('Mapa final'!$AL$37="Muy Alta",'Mapa final'!$AN$37="LCatastrófico"),CONCATENATE("R2C",'Mapa final'!$U$37),"")</f>
        <v/>
      </c>
      <c r="AN13" s="43" t="str">
        <f>IF(AND('Mapa final'!$AL$38="Muy Alta",'Mapa final'!$AN$38="Catastrófico"),CONCATENATE("R2C",'Mapa final'!$U$38),"")</f>
        <v/>
      </c>
      <c r="AO13" s="69"/>
      <c r="AP13" s="520"/>
      <c r="AQ13" s="521"/>
      <c r="AR13" s="521"/>
      <c r="AS13" s="521"/>
      <c r="AT13" s="521"/>
      <c r="AU13" s="522"/>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c r="B14" s="69"/>
      <c r="C14" s="409"/>
      <c r="D14" s="409"/>
      <c r="E14" s="410"/>
      <c r="F14" s="501"/>
      <c r="G14" s="502"/>
      <c r="H14" s="502"/>
      <c r="I14" s="502"/>
      <c r="J14" s="502"/>
      <c r="K14" s="38" t="str">
        <f>IF(AND('Mapa final'!$AL$27="Muy Alta",'Mapa final'!$AN$27="Leve"),CONCATENATE("R2C",'Mapa final'!$U$27),"")</f>
        <v/>
      </c>
      <c r="L14" s="39" t="str">
        <f>IF(AND('Mapa final'!$AL$28="Muy Alta",'Mapa final'!$AN$28="Leve"),CONCATENATE("R2C",'Mapa final'!$U$28),"")</f>
        <v/>
      </c>
      <c r="M14" s="39" t="str">
        <f>IF(AND('Mapa final'!$AL$29="Muy Alta",'Mapa final'!$AN$29="Leve"),CONCATENATE("R2C",'Mapa final'!$U$29),"")</f>
        <v/>
      </c>
      <c r="N14" s="39" t="str">
        <f>IF(AND('Mapa final'!$AL$30="Muy Alta",'Mapa final'!$AN$30="Leve"),CONCATENATE("R2C",'Mapa final'!$U$30),"")</f>
        <v/>
      </c>
      <c r="O14" s="39" t="str">
        <f>IF(AND('Mapa final'!$AL$31="Muy Alta",'Mapa final'!$AN$31="Leve"),CONCATENATE("R2C",'Mapa final'!$U$31),"")</f>
        <v/>
      </c>
      <c r="P14" s="40" t="str">
        <f>IF(AND('Mapa final'!$AL$32="Muy Alta",'Mapa final'!$AN$32="Leve"),CONCATENATE("R2C",'Mapa final'!$U$32),"")</f>
        <v/>
      </c>
      <c r="Q14" s="38" t="str">
        <f>IF(AND('Mapa final'!$AL$27="Muy Alta",'Mapa final'!$AN$27="Menor"),CONCATENATE("R2C",'Mapa final'!$U$27),"")</f>
        <v/>
      </c>
      <c r="R14" s="39" t="str">
        <f>IF(AND('Mapa final'!$AL$28="Muy Alta",'Mapa final'!$AN$28="Menor"),CONCATENATE("R2C",'Mapa final'!$U$28),"")</f>
        <v/>
      </c>
      <c r="S14" s="39" t="str">
        <f>IF(AND('Mapa final'!$AL$29="Muy Alta",'Mapa final'!$AN$29="Menor"),CONCATENATE("R2C",'Mapa final'!$U$29),"")</f>
        <v/>
      </c>
      <c r="T14" s="39" t="str">
        <f>IF(AND('Mapa final'!$AL$30="Muy Alta",'Mapa final'!$AN$30="Menor"),CONCATENATE("R2C",'Mapa final'!$U$30),"")</f>
        <v/>
      </c>
      <c r="U14" s="39" t="str">
        <f>IF(AND('Mapa final'!$AL$31="Muy Alta",'Mapa final'!$AN$31="Menor"),CONCATENATE("R2C",'Mapa final'!$U$31),"")</f>
        <v/>
      </c>
      <c r="V14" s="40" t="str">
        <f>IF(AND('Mapa final'!$AL$32="Muy Alta",'Mapa final'!$AN$32="Menor"),CONCATENATE("R2C",'Mapa final'!$U$32),"")</f>
        <v/>
      </c>
      <c r="W14" s="38" t="str">
        <f>IF(AND('Mapa final'!$AL$27="Muy Alta",'Mapa final'!$AN$27="Moderado"),CONCATENATE("R2C",'Mapa final'!$U$27),"")</f>
        <v/>
      </c>
      <c r="X14" s="39" t="str">
        <f>IF(AND('Mapa final'!$AL$28="Muy Alta",'Mapa final'!$AN$28="Moderado"),CONCATENATE("R2C",'Mapa final'!$U$28),"")</f>
        <v/>
      </c>
      <c r="Y14" s="39" t="str">
        <f>IF(AND('Mapa final'!$AL$29="Muy Alta",'Mapa final'!$AN$29="Moderado"),CONCATENATE("R2C",'Mapa final'!$U$29),"")</f>
        <v/>
      </c>
      <c r="Z14" s="39" t="str">
        <f>IF(AND('Mapa final'!$AL$30="Muy Alta",'Mapa final'!$AN$30="Moderado"),CONCATENATE("R2C",'Mapa final'!$U$30),"")</f>
        <v/>
      </c>
      <c r="AA14" s="39" t="str">
        <f>IF(AND('Mapa final'!$AL$31="Muy Alta",'Mapa final'!$AN$31="Moderado"),CONCATENATE("R2C",'Mapa final'!$U$31),"")</f>
        <v/>
      </c>
      <c r="AB14" s="40" t="str">
        <f>IF(AND('Mapa final'!$AL$32="Muy Alta",'Mapa final'!$AN$32="Moderado"),CONCATENATE("R2C",'Mapa final'!$U$32),"")</f>
        <v/>
      </c>
      <c r="AC14" s="38" t="str">
        <f>IF(AND('Mapa final'!$AL$27="Muy Alta",'Mapa final'!$AN$27="Mayor"),CONCATENATE("R2C",'Mapa final'!$U$27),"")</f>
        <v/>
      </c>
      <c r="AD14" s="39" t="str">
        <f>IF(AND('Mapa final'!$AL$28="Muy Alta",'Mapa final'!$AN$28="Mayor"),CONCATENATE("R2C",'Mapa final'!$U$28),"")</f>
        <v/>
      </c>
      <c r="AE14" s="39" t="str">
        <f>IF(AND('Mapa final'!$AL$29="Muy Alta",'Mapa final'!$AN$29="Mayor"),CONCATENATE("R2C",'Mapa final'!$U$29),"")</f>
        <v/>
      </c>
      <c r="AF14" s="39" t="str">
        <f>IF(AND('Mapa final'!$AL$30="Muy Alta",'Mapa final'!$AN$30="Mayor"),CONCATENATE("R2C",'Mapa final'!$U$30),"")</f>
        <v/>
      </c>
      <c r="AG14" s="39" t="str">
        <f>IF(AND('Mapa final'!$AL$31="Muy Alta",'Mapa final'!$AN$31="Mayor"),CONCATENATE("R2C",'Mapa final'!$U$31),"")</f>
        <v/>
      </c>
      <c r="AH14" s="40" t="str">
        <f>IF(AND('Mapa final'!$AL$32="Muy Alta",'Mapa final'!$AN$32="Mayor"),CONCATENATE("R2C",'Mapa final'!$U$32),"")</f>
        <v/>
      </c>
      <c r="AI14" s="41" t="str">
        <f>IF(AND('Mapa final'!$AL$27="Muy Alta",'Mapa final'!$AN$27="Catastrófico"),CONCATENATE("R2C",'Mapa final'!$U$27),"")</f>
        <v/>
      </c>
      <c r="AJ14" s="42" t="str">
        <f>IF(AND('Mapa final'!$AL$28="Muy Alta",'Mapa final'!$AN$28="Catastrófico"),CONCATENATE("R2C",'Mapa final'!$U$28),"")</f>
        <v/>
      </c>
      <c r="AK14" s="42" t="str">
        <f>IF(AND('Mapa final'!$AL$29="Muy Alta",'Mapa final'!$AN$29="Catastrófico"),CONCATENATE("R2C",'Mapa final'!$U$29),"")</f>
        <v/>
      </c>
      <c r="AL14" s="42" t="str">
        <f>IF(AND('Mapa final'!$AL$30="Muy Alta",'Mapa final'!$AN$30="Catastrófico"),CONCATENATE("R2C",'Mapa final'!$U$30),"")</f>
        <v/>
      </c>
      <c r="AM14" s="42" t="str">
        <f>IF(AND('Mapa final'!$AL$31="Muy Alta",'Mapa final'!$AN$31="Catastrófico"),CONCATENATE("R2C",'Mapa final'!$U$31),"")</f>
        <v/>
      </c>
      <c r="AN14" s="43" t="str">
        <f>IF(AND('Mapa final'!$AL$32="Muy Alta",'Mapa final'!$AN$32="Catastrófico"),CONCATENATE("R2C",'Mapa final'!$U$32),"")</f>
        <v/>
      </c>
      <c r="AO14" s="69"/>
      <c r="AP14" s="520"/>
      <c r="AQ14" s="521"/>
      <c r="AR14" s="521"/>
      <c r="AS14" s="521"/>
      <c r="AT14" s="521"/>
      <c r="AU14" s="522"/>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c r="B15" s="69"/>
      <c r="C15" s="409"/>
      <c r="D15" s="409"/>
      <c r="E15" s="410"/>
      <c r="F15" s="501"/>
      <c r="G15" s="502"/>
      <c r="H15" s="502"/>
      <c r="I15" s="502"/>
      <c r="J15" s="502"/>
      <c r="K15" s="38" t="str">
        <f>IF(AND('Mapa final'!$AL$33="Muy Alta",'Mapa final'!$AN$33="Leve"),CONCATENATE("R2C",'Mapa final'!$U$33),"")</f>
        <v/>
      </c>
      <c r="L15" s="39" t="str">
        <f>IF(AND('Mapa final'!$AL$34="Muy Alta",'Mapa final'!$AN$34="Leve"),CONCATENATE("R2C",'Mapa final'!$U$34),"")</f>
        <v/>
      </c>
      <c r="M15" s="39" t="str">
        <f>IF(AND('Mapa final'!$AL$35="Muy Alta",'Mapa final'!$AN$35="Leve"),CONCATENATE("R2C",'Mapa final'!$U$35),"")</f>
        <v/>
      </c>
      <c r="N15" s="39" t="str">
        <f>IF(AND('Mapa final'!$AL$36="Muy Alta",'Mapa final'!$AN$36="Leve"),CONCATENATE("R2C",'Mapa final'!$U$36),"")</f>
        <v/>
      </c>
      <c r="O15" s="39" t="str">
        <f>IF(AND('Mapa final'!$AL$37="Muy Alta",'Mapa final'!$AN$37="Leve"),CONCATENATE("R2C",'Mapa final'!$U$37),"")</f>
        <v/>
      </c>
      <c r="P15" s="40" t="str">
        <f>IF(AND('Mapa final'!$AL$38="Muy Alta",'Mapa final'!$AN$38="Leve"),CONCATENATE("R2C",'Mapa final'!$U$38),"")</f>
        <v/>
      </c>
      <c r="Q15" s="38" t="str">
        <f>IF(AND('Mapa final'!$AL$33="Muy Alta",'Mapa final'!$AN$33="Menor"),CONCATENATE("R2C",'Mapa final'!$U$33),"")</f>
        <v/>
      </c>
      <c r="R15" s="39" t="str">
        <f>IF(AND('Mapa final'!$AL$34="Muy Alta",'Mapa final'!$AN$34="Menor"),CONCATENATE("R2C",'Mapa final'!$U$34),"")</f>
        <v/>
      </c>
      <c r="S15" s="39" t="str">
        <f>IF(AND('Mapa final'!$AL$35="Muy Alta",'Mapa final'!$AN$35="Menor"),CONCATENATE("R2C",'Mapa final'!$U$35),"")</f>
        <v/>
      </c>
      <c r="T15" s="39" t="str">
        <f>IF(AND('Mapa final'!$AL$36="Muy Alta",'Mapa final'!$AN$36="Menor"),CONCATENATE("R2C",'Mapa final'!$U$36),"")</f>
        <v/>
      </c>
      <c r="U15" s="39" t="str">
        <f>IF(AND('Mapa final'!$AL$37="Muy Alta",'Mapa final'!$AN$37="LMenor"),CONCATENATE("R2C",'Mapa final'!$U$37),"")</f>
        <v/>
      </c>
      <c r="V15" s="40" t="str">
        <f>IF(AND('Mapa final'!$AL$38="Muy Alta",'Mapa final'!$AN$38="Menor"),CONCATENATE("R2C",'Mapa final'!$U$38),"")</f>
        <v/>
      </c>
      <c r="W15" s="38" t="str">
        <f>IF(AND('Mapa final'!$AL$33="Muy Alta",'Mapa final'!$AN$33="Moderado"),CONCATENATE("R2C",'Mapa final'!$U$33),"")</f>
        <v/>
      </c>
      <c r="X15" s="39" t="str">
        <f>IF(AND('Mapa final'!$AL$34="Muy Alta",'Mapa final'!$AN$34="Moderado"),CONCATENATE("R2C",'Mapa final'!$U$34),"")</f>
        <v/>
      </c>
      <c r="Y15" s="39" t="str">
        <f>IF(AND('Mapa final'!$AL$35="Muy Alta",'Mapa final'!$AN$35="Moderado"),CONCATENATE("R2C",'Mapa final'!$U$35),"")</f>
        <v/>
      </c>
      <c r="Z15" s="39" t="str">
        <f>IF(AND('Mapa final'!$AL$36="Muy Alta",'Mapa final'!$AN$36="Moderado"),CONCATENATE("R2C",'Mapa final'!$U$36),"")</f>
        <v/>
      </c>
      <c r="AA15" s="39" t="str">
        <f>IF(AND('Mapa final'!$AL$37="Muy Alta",'Mapa final'!$AN$37="Moderado"),CONCATENATE("R2C",'Mapa final'!$U$37),"")</f>
        <v/>
      </c>
      <c r="AB15" s="40" t="str">
        <f>IF(AND('Mapa final'!$AL$38="Muy Alta",'Mapa final'!$AN$38="Moderado"),CONCATENATE("R2C",'Mapa final'!$U$38),"")</f>
        <v/>
      </c>
      <c r="AC15" s="38" t="str">
        <f>IF(AND('Mapa final'!$AL$33="Muy Alta",'Mapa final'!$AN$33="Mayor"),CONCATENATE("R2C",'Mapa final'!$U$33),"")</f>
        <v/>
      </c>
      <c r="AD15" s="39" t="str">
        <f>IF(AND('Mapa final'!$AL$34="Muy Alta",'Mapa final'!$AN$34="Mayor"),CONCATENATE("R2C",'Mapa final'!$U$34),"")</f>
        <v/>
      </c>
      <c r="AE15" s="39" t="str">
        <f>IF(AND('Mapa final'!$AL$35="Muy Alta",'Mapa final'!$AN$35="Mayor"),CONCATENATE("R2C",'Mapa final'!$U$35),"")</f>
        <v/>
      </c>
      <c r="AF15" s="39" t="str">
        <f>IF(AND('Mapa final'!$AL$36="Muy Alta",'Mapa final'!$AN$36="Mayor"),CONCATENATE("R2C",'Mapa final'!$U$36),"")</f>
        <v/>
      </c>
      <c r="AG15" s="39" t="str">
        <f>IF(AND('Mapa final'!$AL$37="Muy Alta",'Mapa final'!$AN$37="Mayor"),CONCATENATE("R2C",'Mapa final'!$U$37),"")</f>
        <v/>
      </c>
      <c r="AH15" s="40" t="str">
        <f>IF(AND('Mapa final'!$AL$38="Muy Alta",'Mapa final'!$AN$38="Mayor"),CONCATENATE("R2C",'Mapa final'!$U$38),"")</f>
        <v/>
      </c>
      <c r="AI15" s="41" t="str">
        <f>IF(AND('Mapa final'!$AL$33="Muy Alta",'Mapa final'!$AN$33="Catastrófico"),CONCATENATE("R2C",'Mapa final'!$U$33),"")</f>
        <v/>
      </c>
      <c r="AJ15" s="42" t="str">
        <f>IF(AND('Mapa final'!$AL$34="Muy Alta",'Mapa final'!$AN$34="Catastrófico"),CONCATENATE("R2C",'Mapa final'!$U$34),"")</f>
        <v/>
      </c>
      <c r="AK15" s="42" t="str">
        <f>IF(AND('Mapa final'!$AL$35="Muy Alta",'Mapa final'!$AN$35="Catastrófico"),CONCATENATE("R2C",'Mapa final'!$U$35),"")</f>
        <v/>
      </c>
      <c r="AL15" s="42" t="str">
        <f>IF(AND('Mapa final'!$AL$36="Muy Alta",'Mapa final'!$AN$36="Catastrófico"),CONCATENATE("R2C",'Mapa final'!$U$36),"")</f>
        <v/>
      </c>
      <c r="AM15" s="42" t="str">
        <f>IF(AND('Mapa final'!$AL$37="Muy Alta",'Mapa final'!$AN$37="LCatastrófico"),CONCATENATE("R2C",'Mapa final'!$U$37),"")</f>
        <v/>
      </c>
      <c r="AN15" s="43" t="str">
        <f>IF(AND('Mapa final'!$AL$38="Muy Alta",'Mapa final'!$AN$38="Catastrófico"),CONCATENATE("R2C",'Mapa final'!$U$38),"")</f>
        <v/>
      </c>
      <c r="AO15" s="69"/>
      <c r="AP15" s="520"/>
      <c r="AQ15" s="521"/>
      <c r="AR15" s="521"/>
      <c r="AS15" s="521"/>
      <c r="AT15" s="521"/>
      <c r="AU15" s="522"/>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c r="B16" s="69"/>
      <c r="C16" s="409"/>
      <c r="D16" s="409"/>
      <c r="E16" s="410"/>
      <c r="F16" s="501"/>
      <c r="G16" s="502"/>
      <c r="H16" s="502"/>
      <c r="I16" s="502"/>
      <c r="J16" s="502"/>
      <c r="K16" s="38" t="str">
        <f>IF(AND('Mapa final'!$AL$39="Muy Alta",'Mapa final'!$AN$39="Leve"),CONCATENATE("R2C",'Mapa final'!$U$39),"")</f>
        <v/>
      </c>
      <c r="L16" s="39" t="str">
        <f>IF(AND('Mapa final'!$AL$40="Muy Alta",'Mapa final'!$AN$40="Leve"),CONCATENATE("R2C",'Mapa final'!$U$40),"")</f>
        <v/>
      </c>
      <c r="M16" s="39" t="str">
        <f>IF(AND('Mapa final'!$AL$41="Muy Alta",'Mapa final'!$AN$41="Leve"),CONCATENATE("R2C",'Mapa final'!$U$41),"")</f>
        <v/>
      </c>
      <c r="N16" s="39" t="str">
        <f>IF(AND('Mapa final'!$AL$42="Muy Alta",'Mapa final'!$AN$42="Leve"),CONCATENATE("R2C",'Mapa final'!$U$42),"")</f>
        <v/>
      </c>
      <c r="O16" s="39" t="str">
        <f>IF(AND('Mapa final'!$AL$43="Muy Alta",'Mapa final'!$AN$43="Leve"),CONCATENATE("R2C",'Mapa final'!$U$43),"")</f>
        <v/>
      </c>
      <c r="P16" s="40" t="str">
        <f>IF(AND('Mapa final'!$AL$44="Muy Alta",'Mapa final'!$AN$44="Leve"),CONCATENATE("R2C",'Mapa final'!$U$44),"")</f>
        <v/>
      </c>
      <c r="Q16" s="38" t="str">
        <f>IF(AND('Mapa final'!$AL$39="Muy Alta",'Mapa final'!$AN$39="Menor"),CONCATENATE("R2C",'Mapa final'!$U$39),"")</f>
        <v/>
      </c>
      <c r="R16" s="39" t="str">
        <f>IF(AND('Mapa final'!$AL$40="Muy Alta",'Mapa final'!$AN$40="Menor"),CONCATENATE("R2C",'Mapa final'!$U$40),"")</f>
        <v/>
      </c>
      <c r="S16" s="39" t="str">
        <f>IF(AND('Mapa final'!$AL$41="Muy Alta",'Mapa final'!$AN$41="Menor"),CONCATENATE("R2C",'Mapa final'!$U$41),"")</f>
        <v/>
      </c>
      <c r="T16" s="39" t="str">
        <f>IF(AND('Mapa final'!$AL$42="Muy Alta",'Mapa final'!$AN$42="Menor"),CONCATENATE("R2C",'Mapa final'!$U$42),"")</f>
        <v/>
      </c>
      <c r="U16" s="39" t="str">
        <f>IF(AND('Mapa final'!$AL$43="Muy Alta",'Mapa final'!$AN$43="Menor"),CONCATENATE("R2C",'Mapa final'!$U$43),"")</f>
        <v/>
      </c>
      <c r="V16" s="40" t="str">
        <f>IF(AND('Mapa final'!$AL$44="Muy Alta",'Mapa final'!$AN$44="Menor"),CONCATENATE("R2C",'Mapa final'!$U$44),"")</f>
        <v/>
      </c>
      <c r="W16" s="38" t="str">
        <f>IF(AND('Mapa final'!$AL$39="Muy Alta",'Mapa final'!$AN$39="Moderado"),CONCATENATE("R2C",'Mapa final'!$U$39),"")</f>
        <v/>
      </c>
      <c r="X16" s="39" t="str">
        <f>IF(AND('Mapa final'!$AL$40="Muy Alta",'Mapa final'!$AN$40="Moderado"),CONCATENATE("R2C",'Mapa final'!$U$40),"")</f>
        <v/>
      </c>
      <c r="Y16" s="39" t="str">
        <f>IF(AND('Mapa final'!$AL$41="Muy Alta",'Mapa final'!$AN$41="Moderado"),CONCATENATE("R2C",'Mapa final'!$U$41),"")</f>
        <v/>
      </c>
      <c r="Z16" s="39" t="str">
        <f>IF(AND('Mapa final'!$AL$42="Muy Alta",'Mapa final'!$AN$42="Moderado"),CONCATENATE("R2C",'Mapa final'!$U$42),"")</f>
        <v/>
      </c>
      <c r="AA16" s="39" t="str">
        <f>IF(AND('Mapa final'!$AL$43="Muy Alta",'Mapa final'!$AN$43="Moderado"),CONCATENATE("R2C",'Mapa final'!$U$43),"")</f>
        <v/>
      </c>
      <c r="AB16" s="40" t="str">
        <f>IF(AND('Mapa final'!$AL$44="Muy Alta",'Mapa final'!$AN$44="Moderado"),CONCATENATE("R2C",'Mapa final'!$U$44),"")</f>
        <v/>
      </c>
      <c r="AC16" s="38" t="str">
        <f>IF(AND('Mapa final'!$AL$39="Muy Alta",'Mapa final'!$AN$39="Mayor"),CONCATENATE("R2C",'Mapa final'!$U$39),"")</f>
        <v/>
      </c>
      <c r="AD16" s="39" t="str">
        <f>IF(AND('Mapa final'!$AL$40="Muy Alta",'Mapa final'!$AN$40="Mayor"),CONCATENATE("R2C",'Mapa final'!$U$40),"")</f>
        <v/>
      </c>
      <c r="AE16" s="39" t="str">
        <f>IF(AND('Mapa final'!$AL$41="Muy Alta",'Mapa final'!$AN$41="Mayor"),CONCATENATE("R2C",'Mapa final'!$U$41),"")</f>
        <v/>
      </c>
      <c r="AF16" s="39" t="str">
        <f>IF(AND('Mapa final'!$AL$42="Muy Alta",'Mapa final'!$AN$42="Mayor"),CONCATENATE("R2C",'Mapa final'!$U$42),"")</f>
        <v/>
      </c>
      <c r="AG16" s="39" t="str">
        <f>IF(AND('Mapa final'!$AL$43="Muy Alta",'Mapa final'!$AN$43="Mayor"),CONCATENATE("R2C",'Mapa final'!$U$43),"")</f>
        <v/>
      </c>
      <c r="AH16" s="40" t="str">
        <f>IF(AND('Mapa final'!$AL$44="Muy Alta",'Mapa final'!$AN$44="Mayor"),CONCATENATE("R2C",'Mapa final'!$U$44),"")</f>
        <v/>
      </c>
      <c r="AI16" s="41" t="str">
        <f>IF(AND('Mapa final'!$AL$39="Muy Alta",'Mapa final'!$AN$39="Catastrófico"),CONCATENATE("R2C",'Mapa final'!$U$39),"")</f>
        <v/>
      </c>
      <c r="AJ16" s="42" t="str">
        <f>IF(AND('Mapa final'!$AL$40="Muy Alta",'Mapa final'!$AN$40="Catastrófico"),CONCATENATE("R2C",'Mapa final'!$U$40),"")</f>
        <v/>
      </c>
      <c r="AK16" s="42" t="str">
        <f>IF(AND('Mapa final'!$AL$41="Muy Alta",'Mapa final'!$AN$41="Catastrófico"),CONCATENATE("R2C",'Mapa final'!$U$41),"")</f>
        <v/>
      </c>
      <c r="AL16" s="42" t="str">
        <f>IF(AND('Mapa final'!$AL$42="Muy Alta",'Mapa final'!$AN$42="Catastrófico"),CONCATENATE("R2C",'Mapa final'!$U$42),"")</f>
        <v/>
      </c>
      <c r="AM16" s="42" t="str">
        <f>IF(AND('Mapa final'!$AL$43="Muy Alta",'Mapa final'!$AN$43="Catastrófico"),CONCATENATE("R2C",'Mapa final'!$U$43),"")</f>
        <v/>
      </c>
      <c r="AN16" s="43" t="str">
        <f>IF(AND('Mapa final'!$AL$44="Muy Alta",'Mapa final'!$AN$44="Catastrófico"),CONCATENATE("R2C",'Mapa final'!$U$44),"")</f>
        <v/>
      </c>
      <c r="AO16" s="69"/>
      <c r="AP16" s="520"/>
      <c r="AQ16" s="521"/>
      <c r="AR16" s="521"/>
      <c r="AS16" s="521"/>
      <c r="AT16" s="521"/>
      <c r="AU16" s="522"/>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c r="B17" s="69"/>
      <c r="C17" s="409"/>
      <c r="D17" s="409"/>
      <c r="E17" s="410"/>
      <c r="F17" s="501"/>
      <c r="G17" s="502"/>
      <c r="H17" s="502"/>
      <c r="I17" s="502"/>
      <c r="J17" s="502"/>
      <c r="K17" s="38" t="str">
        <f>IF(AND('Mapa final'!$AL$45="Muy Alta",'Mapa final'!$AN$45="Leve"),CONCATENATE("R2C",'Mapa final'!$U$45),"")</f>
        <v/>
      </c>
      <c r="L17" s="39" t="str">
        <f>IF(AND('Mapa final'!$AL$46="Muy Alta",'Mapa final'!$AN$46="Leve"),CONCATENATE("R2C",'Mapa final'!$U$46),"")</f>
        <v/>
      </c>
      <c r="M17" s="39" t="str">
        <f>IF(AND('Mapa final'!$AL$47="Muy Alta",'Mapa final'!$AN$47="Leve"),CONCATENATE("R2C",'Mapa final'!$U$47),"")</f>
        <v/>
      </c>
      <c r="N17" s="39" t="str">
        <f>IF(AND('Mapa final'!$AL$48="Muy Alta",'Mapa final'!$AN$48="Leve"),CONCATENATE("R2C",'Mapa final'!$U$48),"")</f>
        <v/>
      </c>
      <c r="O17" s="39" t="str">
        <f>IF(AND('Mapa final'!$AL$49="Muy Alta",'Mapa final'!$AN$49="Leve"),CONCATENATE("R2C",'Mapa final'!$U$49),"")</f>
        <v/>
      </c>
      <c r="P17" s="40" t="str">
        <f>IF(AND('Mapa final'!$AL$60="Muy Alta",'Mapa final'!$AN$50="Leve"),CONCATENATE("R2C",'Mapa final'!$U$50),"")</f>
        <v/>
      </c>
      <c r="Q17" s="38" t="str">
        <f>IF(AND('Mapa final'!$AL$45="Muy Alta",'Mapa final'!$AN$45="Menor"),CONCATENATE("R2C",'Mapa final'!$U$45),"")</f>
        <v/>
      </c>
      <c r="R17" s="39" t="str">
        <f>IF(AND('Mapa final'!$AL$46="Muy Alta",'Mapa final'!$AN$46="Menor"),CONCATENATE("R2C",'Mapa final'!$U$46),"")</f>
        <v/>
      </c>
      <c r="S17" s="39" t="str">
        <f>IF(AND('Mapa final'!$AL$47="Muy Alta",'Mapa final'!$AN$47="Menor"),CONCATENATE("R2C",'Mapa final'!$U$47),"")</f>
        <v/>
      </c>
      <c r="T17" s="39" t="str">
        <f>IF(AND('Mapa final'!$AL$48="Muy Alta",'Mapa final'!$AN$48="Menor"),CONCATENATE("R2C",'Mapa final'!$U$48),"")</f>
        <v/>
      </c>
      <c r="U17" s="39" t="str">
        <f>IF(AND('Mapa final'!$AL$49="Muy Alta",'Mapa final'!$AN$49="Menor"),CONCATENATE("R2C",'Mapa final'!$U$49),"")</f>
        <v/>
      </c>
      <c r="V17" s="40" t="str">
        <f>IF(AND('Mapa final'!$AL$60="Muy Alta",'Mapa final'!$AN$50="Menor"),CONCATENATE("R2C",'Mapa final'!$U$50),"")</f>
        <v/>
      </c>
      <c r="W17" s="38" t="str">
        <f>IF(AND('Mapa final'!$AL$45="Muy Alta",'Mapa final'!$AN$45="Moderado"),CONCATENATE("R2C",'Mapa final'!$U$45),"")</f>
        <v/>
      </c>
      <c r="X17" s="39" t="str">
        <f>IF(AND('Mapa final'!$AL$46="Muy Alta",'Mapa final'!$AN$46="Moderado"),CONCATENATE("R2C",'Mapa final'!$U$46),"")</f>
        <v/>
      </c>
      <c r="Y17" s="39" t="str">
        <f>IF(AND('Mapa final'!$AL$47="Muy Alta",'Mapa final'!$AN$47="Moderado"),CONCATENATE("R2C",'Mapa final'!$U$47),"")</f>
        <v/>
      </c>
      <c r="Z17" s="39" t="str">
        <f>IF(AND('Mapa final'!$AL$48="Muy Alta",'Mapa final'!$AN$48="Moderado"),CONCATENATE("R2C",'Mapa final'!$U$48),"")</f>
        <v/>
      </c>
      <c r="AA17" s="39" t="str">
        <f>IF(AND('Mapa final'!$AL$49="Muy Alta",'Mapa final'!$AN$49="Moderado"),CONCATENATE("R2C",'Mapa final'!$U$49),"")</f>
        <v/>
      </c>
      <c r="AB17" s="40" t="str">
        <f>IF(AND('Mapa final'!$AL$60="Muy Alta",'Mapa final'!$AN$50="Moderado"),CONCATENATE("R2C",'Mapa final'!$U$50),"")</f>
        <v/>
      </c>
      <c r="AC17" s="38" t="str">
        <f>IF(AND('Mapa final'!$AL$45="Muy Alta",'Mapa final'!$AN$45="Mayor"),CONCATENATE("R2C",'Mapa final'!$U$45),"")</f>
        <v/>
      </c>
      <c r="AD17" s="39" t="str">
        <f>IF(AND('Mapa final'!$AL$46="Muy Alta",'Mapa final'!$AN$46="Mayor"),CONCATENATE("R2C",'Mapa final'!$U$46),"")</f>
        <v/>
      </c>
      <c r="AE17" s="39" t="str">
        <f>IF(AND('Mapa final'!$AL$47="Muy Alta",'Mapa final'!$AN$47="Mayor"),CONCATENATE("R2C",'Mapa final'!$U$47),"")</f>
        <v/>
      </c>
      <c r="AF17" s="39" t="str">
        <f>IF(AND('Mapa final'!$AL$48="Muy Alta",'Mapa final'!$AN$48="Mayor"),CONCATENATE("R2C",'Mapa final'!$U$48),"")</f>
        <v/>
      </c>
      <c r="AG17" s="39" t="str">
        <f>IF(AND('Mapa final'!$AL$49="Muy Alta",'Mapa final'!$AN$49="Mayor"),CONCATENATE("R2C",'Mapa final'!$U$49),"")</f>
        <v/>
      </c>
      <c r="AH17" s="40" t="str">
        <f>IF(AND('Mapa final'!$AL$60="Muy Alta",'Mapa final'!$AN$50="Mayor"),CONCATENATE("R2C",'Mapa final'!$U$50),"")</f>
        <v/>
      </c>
      <c r="AI17" s="41" t="str">
        <f>IF(AND('Mapa final'!$AL$45="Muy Alta",'Mapa final'!$AN$45="Catastrófico"),CONCATENATE("R2C",'Mapa final'!$U$45),"")</f>
        <v/>
      </c>
      <c r="AJ17" s="42" t="str">
        <f>IF(AND('Mapa final'!$AL$46="Muy Alta",'Mapa final'!$AN$46="Catastrófico"),CONCATENATE("R2C",'Mapa final'!$U$46),"")</f>
        <v/>
      </c>
      <c r="AK17" s="42" t="str">
        <f>IF(AND('Mapa final'!$AL$47="Muy Alta",'Mapa final'!$AN$47="Catastrófico"),CONCATENATE("R2C",'Mapa final'!$U$47),"")</f>
        <v/>
      </c>
      <c r="AL17" s="42" t="str">
        <f>IF(AND('Mapa final'!$AL$48="Muy Alta",'Mapa final'!$AN$48="Catastrófico"),CONCATENATE("R2C",'Mapa final'!$U$48),"")</f>
        <v/>
      </c>
      <c r="AM17" s="42" t="str">
        <f>IF(AND('Mapa final'!$AL$49="Muy Alta",'Mapa final'!$AN$49="Catastrófico"),CONCATENATE("R2C",'Mapa final'!$U$49),"")</f>
        <v/>
      </c>
      <c r="AN17" s="43" t="str">
        <f>IF(AND('Mapa final'!$AL$60="Muy Alta",'Mapa final'!$AN$50="Catastrófico"),CONCATENATE("R2C",'Mapa final'!$U$50),"")</f>
        <v/>
      </c>
      <c r="AO17" s="69"/>
      <c r="AP17" s="520"/>
      <c r="AQ17" s="521"/>
      <c r="AR17" s="521"/>
      <c r="AS17" s="521"/>
      <c r="AT17" s="521"/>
      <c r="AU17" s="522"/>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c r="B18" s="69"/>
      <c r="C18" s="409"/>
      <c r="D18" s="409"/>
      <c r="E18" s="410"/>
      <c r="F18" s="501"/>
      <c r="G18" s="502"/>
      <c r="H18" s="502"/>
      <c r="I18" s="502"/>
      <c r="J18" s="502"/>
      <c r="K18" s="38" t="str">
        <f>IF(AND('Mapa final'!$AL$51="Muy Alta",'Mapa final'!$AN$51="Leve"),CONCATENATE("R2C",'Mapa final'!$U$51),"")</f>
        <v/>
      </c>
      <c r="L18" s="39" t="str">
        <f>IF(AND('Mapa final'!$AL$52="Muy Alta",'Mapa final'!$AN$52="Leve"),CONCATENATE("R2C",'Mapa final'!$U$52),"")</f>
        <v/>
      </c>
      <c r="M18" s="39" t="str">
        <f>IF(AND('Mapa final'!$AL$53="Muy Alta",'Mapa final'!$AN$53="Leve"),CONCATENATE("R2C",'Mapa final'!$U$53),"")</f>
        <v/>
      </c>
      <c r="N18" s="39" t="str">
        <f>IF(AND('Mapa final'!$AL$54="Muy Alta",'Mapa final'!$AN$54="Leve"),CONCATENATE("R2C",'Mapa final'!$U$54),"")</f>
        <v/>
      </c>
      <c r="O18" s="39" t="str">
        <f>IF(AND('Mapa final'!$AL$55="Muy Alta",'Mapa final'!$AN$55="Leve"),CONCATENATE("R2C",'Mapa final'!$U$55),"")</f>
        <v/>
      </c>
      <c r="P18" s="40" t="str">
        <f>IF(AND('Mapa final'!$AL$56="Muy Alta",'Mapa final'!$AN$56="Leve"),CONCATENATE("R2C",'Mapa final'!$U$56),"")</f>
        <v/>
      </c>
      <c r="Q18" s="38" t="str">
        <f>IF(AND('Mapa final'!$AL$51="Muy Alta",'Mapa final'!$AN$51="Menor"),CONCATENATE("R2C",'Mapa final'!$U$51),"")</f>
        <v/>
      </c>
      <c r="R18" s="39" t="str">
        <f>IF(AND('Mapa final'!$AL$52="Muy Alta",'Mapa final'!$AN$52="Menor"),CONCATENATE("R2C",'Mapa final'!$U$52),"")</f>
        <v/>
      </c>
      <c r="S18" s="39" t="str">
        <f>IF(AND('Mapa final'!$AL$53="Muy Alta",'Mapa final'!$AN$53="Menor"),CONCATENATE("R2C",'Mapa final'!$U$53),"")</f>
        <v/>
      </c>
      <c r="T18" s="39" t="str">
        <f>IF(AND('Mapa final'!$AL$54="Muy Alta",'Mapa final'!$AN$54="Menor"),CONCATENATE("R2C",'Mapa final'!$U$54),"")</f>
        <v/>
      </c>
      <c r="U18" s="39" t="str">
        <f>IF(AND('Mapa final'!$AL$55="Muy Alta",'Mapa final'!$AN$55="Menor"),CONCATENATE("R2C",'Mapa final'!$U$55),"")</f>
        <v/>
      </c>
      <c r="V18" s="40" t="str">
        <f>IF(AND('Mapa final'!$AL$56="Muy Alta",'Mapa final'!$AN$56="Menor"),CONCATENATE("R2C",'Mapa final'!$U$56),"")</f>
        <v/>
      </c>
      <c r="W18" s="38" t="str">
        <f>IF(AND('Mapa final'!$AL$51="Muy Alta",'Mapa final'!$AN$51="Moderado"),CONCATENATE("R2C",'Mapa final'!$U$51),"")</f>
        <v/>
      </c>
      <c r="X18" s="39" t="str">
        <f>IF(AND('Mapa final'!$AL$52="Muy Alta",'Mapa final'!$AN$52="Moderado"),CONCATENATE("R2C",'Mapa final'!$U$52),"")</f>
        <v/>
      </c>
      <c r="Y18" s="39" t="str">
        <f>IF(AND('Mapa final'!$AL$53="Muy Alta",'Mapa final'!$AN$53="Moderado"),CONCATENATE("R2C",'Mapa final'!$U$53),"")</f>
        <v/>
      </c>
      <c r="Z18" s="39" t="str">
        <f>IF(AND('Mapa final'!$AL$54="Muy Alta",'Mapa final'!$AN$54="Moderado"),CONCATENATE("R2C",'Mapa final'!$U$54),"")</f>
        <v/>
      </c>
      <c r="AA18" s="39" t="str">
        <f>IF(AND('Mapa final'!$AL$55="Muy Alta",'Mapa final'!$AN$55="Moderado"),CONCATENATE("R2C",'Mapa final'!$U$55),"")</f>
        <v/>
      </c>
      <c r="AB18" s="40" t="str">
        <f>IF(AND('Mapa final'!$AL$56="Muy Alta",'Mapa final'!$AN$56="Moderado"),CONCATENATE("R2C",'Mapa final'!$U$56),"")</f>
        <v/>
      </c>
      <c r="AC18" s="38" t="str">
        <f>IF(AND('Mapa final'!$AL$51="Muy Alta",'Mapa final'!$AN$51="Mayor"),CONCATENATE("R2C",'Mapa final'!$U$51),"")</f>
        <v/>
      </c>
      <c r="AD18" s="39" t="str">
        <f>IF(AND('Mapa final'!$AL$52="Muy Alta",'Mapa final'!$AN$52="Mayor"),CONCATENATE("R2C",'Mapa final'!$U$52),"")</f>
        <v/>
      </c>
      <c r="AE18" s="39" t="str">
        <f>IF(AND('Mapa final'!$AL$53="Muy Alta",'Mapa final'!$AN$53="Mayor"),CONCATENATE("R2C",'Mapa final'!$U$53),"")</f>
        <v/>
      </c>
      <c r="AF18" s="39" t="str">
        <f>IF(AND('Mapa final'!$AL$54="Muy Alta",'Mapa final'!$AN$54="Mayor"),CONCATENATE("R2C",'Mapa final'!$U$54),"")</f>
        <v/>
      </c>
      <c r="AG18" s="39" t="str">
        <f>IF(AND('Mapa final'!$AL$55="Muy Alta",'Mapa final'!$AN$55="Mayor"),CONCATENATE("R2C",'Mapa final'!$U$55),"")</f>
        <v/>
      </c>
      <c r="AH18" s="40" t="str">
        <f>IF(AND('Mapa final'!$AL$56="Muy Alta",'Mapa final'!$AN$56="Mayor"),CONCATENATE("R2C",'Mapa final'!$U$56),"")</f>
        <v/>
      </c>
      <c r="AI18" s="41" t="str">
        <f>IF(AND('Mapa final'!$AL$51="Muy Alta",'Mapa final'!$AN$51="Catastrófico"),CONCATENATE("R2C",'Mapa final'!$U$51),"")</f>
        <v/>
      </c>
      <c r="AJ18" s="42" t="str">
        <f>IF(AND('Mapa final'!$AL$52="Muy Alta",'Mapa final'!$AN$52="Catastrófico"),CONCATENATE("R2C",'Mapa final'!$U$52),"")</f>
        <v/>
      </c>
      <c r="AK18" s="42" t="str">
        <f>IF(AND('Mapa final'!$AL$53="Muy Alta",'Mapa final'!$AN$53="Catastrófico"),CONCATENATE("R2C",'Mapa final'!$U$53),"")</f>
        <v/>
      </c>
      <c r="AL18" s="42" t="str">
        <f>IF(AND('Mapa final'!$AL$54="Muy Alta",'Mapa final'!$AN$54="Catastrófico"),CONCATENATE("R2C",'Mapa final'!$U$54),"")</f>
        <v/>
      </c>
      <c r="AM18" s="42" t="str">
        <f>IF(AND('Mapa final'!$AL$55="Muy Alta",'Mapa final'!$AN$55="Catastrófico"),CONCATENATE("R2C",'Mapa final'!$U$55),"")</f>
        <v/>
      </c>
      <c r="AN18" s="43" t="str">
        <f>IF(AND('Mapa final'!$AL$56="Muy Alta",'Mapa final'!$AN$56="Catastrófico"),CONCATENATE("R2C",'Mapa final'!$U$56),"")</f>
        <v/>
      </c>
      <c r="AO18" s="69"/>
      <c r="AP18" s="520"/>
      <c r="AQ18" s="521"/>
      <c r="AR18" s="521"/>
      <c r="AS18" s="521"/>
      <c r="AT18" s="521"/>
      <c r="AU18" s="522"/>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c r="B19" s="69"/>
      <c r="C19" s="409"/>
      <c r="D19" s="409"/>
      <c r="E19" s="410"/>
      <c r="F19" s="501"/>
      <c r="G19" s="502"/>
      <c r="H19" s="502"/>
      <c r="I19" s="502"/>
      <c r="J19" s="502"/>
      <c r="K19" s="38" t="str">
        <f>IF(AND('Mapa final'!$AL$57="Muy Alta",'Mapa final'!$AN$57="Leve"),CONCATENATE("R2C",'Mapa final'!$U$57),"")</f>
        <v/>
      </c>
      <c r="L19" s="39" t="str">
        <f>IF(AND('Mapa final'!$AL$58="Muy Alta",'Mapa final'!$AN$58="Leve"),CONCATENATE("R2C",'Mapa final'!$U$58),"")</f>
        <v/>
      </c>
      <c r="M19" s="39" t="str">
        <f>IF(AND('Mapa final'!$AL$59="Muy Alta",'Mapa final'!$AN$59="Leve"),CONCATENATE("R2C",'Mapa final'!$U$59),"")</f>
        <v/>
      </c>
      <c r="N19" s="39" t="str">
        <f>IF(AND('Mapa final'!$AL$60="Muy Alta",'Mapa final'!$AN$60="Leve"),CONCATENATE("R2C",'Mapa final'!$U$60),"")</f>
        <v/>
      </c>
      <c r="O19" s="39" t="str">
        <f>IF(AND('Mapa final'!$AL$61="Muy Alta",'Mapa final'!$AN$61="Leve"),CONCATENATE("R2C",'Mapa final'!$U$61),"")</f>
        <v/>
      </c>
      <c r="P19" s="40" t="str">
        <f>IF(AND('Mapa final'!$AL$62="Muy Alta",'Mapa final'!$AN$62="Leve"),CONCATENATE("R2C",'Mapa final'!$U$62),"")</f>
        <v/>
      </c>
      <c r="Q19" s="38" t="str">
        <f>IF(AND('Mapa final'!$AL$57="Muy Alta",'Mapa final'!$AN$57="Menor"),CONCATENATE("R2C",'Mapa final'!$U$57),"")</f>
        <v/>
      </c>
      <c r="R19" s="39" t="str">
        <f>IF(AND('Mapa final'!$AL$58="Muy Alta",'Mapa final'!$AN$58="Menor"),CONCATENATE("R2C",'Mapa final'!$U$58),"")</f>
        <v/>
      </c>
      <c r="S19" s="39" t="str">
        <f>IF(AND('Mapa final'!$AL$59="Muy Alta",'Mapa final'!$AN$59="Menor"),CONCATENATE("R2C",'Mapa final'!$U$59),"")</f>
        <v/>
      </c>
      <c r="T19" s="39" t="str">
        <f>IF(AND('Mapa final'!$AL$60="Muy Alta",'Mapa final'!$AN$60="Menor"),CONCATENATE("R2C",'Mapa final'!$U$60),"")</f>
        <v/>
      </c>
      <c r="U19" s="39" t="str">
        <f>IF(AND('Mapa final'!$AL$61="Muy Alta",'Mapa final'!$AN$61="Menor"),CONCATENATE("R2C",'Mapa final'!$U$61),"")</f>
        <v/>
      </c>
      <c r="V19" s="40" t="str">
        <f>IF(AND('Mapa final'!$AL$62="Muy Alta",'Mapa final'!$AN$62="Menor"),CONCATENATE("R2C",'Mapa final'!$U$62),"")</f>
        <v/>
      </c>
      <c r="W19" s="38" t="str">
        <f>IF(AND('Mapa final'!$AL$57="Muy Alta",'Mapa final'!$AN$57="Moderado"),CONCATENATE("R2C",'Mapa final'!$U$57),"")</f>
        <v/>
      </c>
      <c r="X19" s="39" t="str">
        <f>IF(AND('Mapa final'!$AL$58="Muy Alta",'Mapa final'!$AN$58="Moderado"),CONCATENATE("R2C",'Mapa final'!$U$58),"")</f>
        <v/>
      </c>
      <c r="Y19" s="39" t="str">
        <f>IF(AND('Mapa final'!$AL$59="Muy Alta",'Mapa final'!$AN$59="Moderado"),CONCATENATE("R2C",'Mapa final'!$U$59),"")</f>
        <v/>
      </c>
      <c r="Z19" s="39" t="str">
        <f>IF(AND('Mapa final'!$AL$60="Muy Alta",'Mapa final'!$AN$60="Moderado"),CONCATENATE("R2C",'Mapa final'!$U$60),"")</f>
        <v/>
      </c>
      <c r="AA19" s="39" t="str">
        <f>IF(AND('Mapa final'!$AL$61="Muy Alta",'Mapa final'!$AN$61="Moderado"),CONCATENATE("R2C",'Mapa final'!$U$61),"")</f>
        <v/>
      </c>
      <c r="AB19" s="40" t="str">
        <f>IF(AND('Mapa final'!$AL$62="Muy Alta",'Mapa final'!$AN$62="Moderado"),CONCATENATE("R2C",'Mapa final'!$U$62),"")</f>
        <v/>
      </c>
      <c r="AC19" s="38" t="str">
        <f>IF(AND('Mapa final'!$AL$57="Muy Alta",'Mapa final'!$AN$57="Mayor"),CONCATENATE("R2C",'Mapa final'!$U$57),"")</f>
        <v/>
      </c>
      <c r="AD19" s="39" t="str">
        <f>IF(AND('Mapa final'!$AL$58="Muy Alta",'Mapa final'!$AN$58="Mayor"),CONCATENATE("R2C",'Mapa final'!$U$58),"")</f>
        <v/>
      </c>
      <c r="AE19" s="39" t="str">
        <f>IF(AND('Mapa final'!$AL$59="Muy Alta",'Mapa final'!$AN$59="Mayor"),CONCATENATE("R2C",'Mapa final'!$U$59),"")</f>
        <v/>
      </c>
      <c r="AF19" s="39" t="str">
        <f>IF(AND('Mapa final'!$AL$60="Muy Alta",'Mapa final'!$AN$60="Mayor"),CONCATENATE("R2C",'Mapa final'!$U$60),"")</f>
        <v/>
      </c>
      <c r="AG19" s="39" t="str">
        <f>IF(AND('Mapa final'!$AL$61="Muy Alta",'Mapa final'!$AN$61="Mayor"),CONCATENATE("R2C",'Mapa final'!$U$61),"")</f>
        <v/>
      </c>
      <c r="AH19" s="40" t="str">
        <f>IF(AND('Mapa final'!$AL$62="Muy Alta",'Mapa final'!$AN$62="Mayor"),CONCATENATE("R2C",'Mapa final'!$U$62),"")</f>
        <v/>
      </c>
      <c r="AI19" s="41" t="str">
        <f>IF(AND('Mapa final'!$AL$57="Muy Alta",'Mapa final'!$AN$57="Catastrófico"),CONCATENATE("R2C",'Mapa final'!$U$57),"")</f>
        <v/>
      </c>
      <c r="AJ19" s="42" t="str">
        <f>IF(AND('Mapa final'!$AL$58="Muy Alta",'Mapa final'!$AN$58="Catastrófico"),CONCATENATE("R2C",'Mapa final'!$U$58),"")</f>
        <v/>
      </c>
      <c r="AK19" s="42" t="str">
        <f>IF(AND('Mapa final'!$AL$59="Muy Alta",'Mapa final'!$AN$59="Catastrófico"),CONCATENATE("R2C",'Mapa final'!$U$59),"")</f>
        <v/>
      </c>
      <c r="AL19" s="42" t="str">
        <f>IF(AND('Mapa final'!$AL$60="Muy Alta",'Mapa final'!$AN$60="Catastrófico"),CONCATENATE("R2C",'Mapa final'!$U$60),"")</f>
        <v/>
      </c>
      <c r="AM19" s="42" t="str">
        <f>IF(AND('Mapa final'!$AL$61="Muy Alta",'Mapa final'!$AN$61="Catastrófico"),CONCATENATE("R2C",'Mapa final'!$U$61),"")</f>
        <v/>
      </c>
      <c r="AN19" s="43" t="str">
        <f>IF(AND('Mapa final'!$AL$62="Muy Alta",'Mapa final'!$AN$62="Catastrófico"),CONCATENATE("R2C",'Mapa final'!$U$62),"")</f>
        <v/>
      </c>
      <c r="AO19" s="69"/>
      <c r="AP19" s="520"/>
      <c r="AQ19" s="521"/>
      <c r="AR19" s="521"/>
      <c r="AS19" s="521"/>
      <c r="AT19" s="521"/>
      <c r="AU19" s="522"/>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c r="B20" s="69"/>
      <c r="C20" s="409"/>
      <c r="D20" s="409"/>
      <c r="E20" s="410"/>
      <c r="F20" s="501"/>
      <c r="G20" s="502"/>
      <c r="H20" s="502"/>
      <c r="I20" s="502"/>
      <c r="J20" s="502"/>
      <c r="K20" s="38" t="str">
        <f>IF(AND('Mapa final'!$AL$63="Muy Alta",'Mapa final'!$AN$63="Leve"),CONCATENATE("R2C",'Mapa final'!$U$63),"")</f>
        <v/>
      </c>
      <c r="L20" s="39" t="str">
        <f>IF(AND('Mapa final'!$AL$64="Muy Alta",'Mapa final'!$AN$64="Leve"),CONCATENATE("R2C",'Mapa final'!$U$64),"")</f>
        <v/>
      </c>
      <c r="M20" s="39" t="str">
        <f>IF(AND('Mapa final'!$AL$65="Muy Alta",'Mapa final'!$AN$65="Leve"),CONCATENATE("R2C",'Mapa final'!$U$65),"")</f>
        <v/>
      </c>
      <c r="N20" s="39" t="str">
        <f>IF(AND('Mapa final'!$AL$66="Muy Alta",'Mapa final'!$AN$66="Leve"),CONCATENATE("R2C",'Mapa final'!$U$66),"")</f>
        <v/>
      </c>
      <c r="O20" s="39" t="str">
        <f>IF(AND('Mapa final'!$AL$67="Muy Alta",'Mapa final'!$AN$67="Leve"),CONCATENATE("R2C",'Mapa final'!$U$67),"")</f>
        <v/>
      </c>
      <c r="P20" s="40" t="str">
        <f>IF(AND('Mapa final'!$AL$68="Muy Alta",'Mapa final'!$AN$68="Leve"),CONCATENATE("R2C",'Mapa final'!$U$68),"")</f>
        <v/>
      </c>
      <c r="Q20" s="38" t="str">
        <f>IF(AND('Mapa final'!$AL$63="Muy Alta",'Mapa final'!$AN$63="Menor"),CONCATENATE("R2C",'Mapa final'!$U$63),"")</f>
        <v/>
      </c>
      <c r="R20" s="39" t="str">
        <f>IF(AND('Mapa final'!$AL$64="Muy Alta",'Mapa final'!$AN$64="Menor"),CONCATENATE("R2C",'Mapa final'!$U$64),"")</f>
        <v/>
      </c>
      <c r="S20" s="39" t="str">
        <f>IF(AND('Mapa final'!$AL$65="Muy Alta",'Mapa final'!$AN$65="Menor"),CONCATENATE("R2C",'Mapa final'!$U$65),"")</f>
        <v/>
      </c>
      <c r="T20" s="39" t="str">
        <f>IF(AND('Mapa final'!$AL$66="Muy Alta",'Mapa final'!$AN$66="Menor"),CONCATENATE("R2C",'Mapa final'!$U$66),"")</f>
        <v/>
      </c>
      <c r="U20" s="39" t="str">
        <f>IF(AND('Mapa final'!$AL$67="Muy Alta",'Mapa final'!$AN$67="Menor"),CONCATENATE("R2C",'Mapa final'!$U$67),"")</f>
        <v/>
      </c>
      <c r="V20" s="40" t="str">
        <f>IF(AND('Mapa final'!$AL$68="Muy Alta",'Mapa final'!$AN$68="Menor"),CONCATENATE("R2C",'Mapa final'!$U$68),"")</f>
        <v/>
      </c>
      <c r="W20" s="38" t="str">
        <f>IF(AND('Mapa final'!$AL$63="Muy Alta",'Mapa final'!$AN$63="Moderado"),CONCATENATE("R2C",'Mapa final'!$U$63),"")</f>
        <v/>
      </c>
      <c r="X20" s="39" t="str">
        <f>IF(AND('Mapa final'!$AL$64="Muy Alta",'Mapa final'!$AN$64="Moderado"),CONCATENATE("R2C",'Mapa final'!$U$64),"")</f>
        <v/>
      </c>
      <c r="Y20" s="39" t="str">
        <f>IF(AND('Mapa final'!$AL$65="Muy Alta",'Mapa final'!$AN$65="Moderado"),CONCATENATE("R2C",'Mapa final'!$U$65),"")</f>
        <v/>
      </c>
      <c r="Z20" s="39" t="str">
        <f>IF(AND('Mapa final'!$AL$66="Muy Alta",'Mapa final'!$AN$66="Moderado"),CONCATENATE("R2C",'Mapa final'!$U$66),"")</f>
        <v/>
      </c>
      <c r="AA20" s="39" t="str">
        <f>IF(AND('Mapa final'!$AL$67="Muy Alta",'Mapa final'!$AN$67="Moderado"),CONCATENATE("R2C",'Mapa final'!$U$67),"")</f>
        <v/>
      </c>
      <c r="AB20" s="40" t="str">
        <f>IF(AND('Mapa final'!$AL$68="Muy Alta",'Mapa final'!$AN$68="Moderado"),CONCATENATE("R2C",'Mapa final'!$U$68),"")</f>
        <v/>
      </c>
      <c r="AC20" s="38" t="str">
        <f>IF(AND('Mapa final'!$AL$63="Muy Alta",'Mapa final'!$AN$63="Mayor"),CONCATENATE("R2C",'Mapa final'!$U$63),"")</f>
        <v/>
      </c>
      <c r="AD20" s="39" t="str">
        <f>IF(AND('Mapa final'!$AL$64="Muy Alta",'Mapa final'!$AN$64="Mayor"),CONCATENATE("R2C",'Mapa final'!$U$64),"")</f>
        <v/>
      </c>
      <c r="AE20" s="39" t="str">
        <f>IF(AND('Mapa final'!$AL$65="Muy Alta",'Mapa final'!$AN$65="Mayor"),CONCATENATE("R2C",'Mapa final'!$U$65),"")</f>
        <v/>
      </c>
      <c r="AF20" s="39" t="str">
        <f>IF(AND('Mapa final'!$AL$66="Muy Alta",'Mapa final'!$AN$66="Mayor"),CONCATENATE("R2C",'Mapa final'!$U$66),"")</f>
        <v/>
      </c>
      <c r="AG20" s="39" t="str">
        <f>IF(AND('Mapa final'!$AL$67="Muy Alta",'Mapa final'!$AN$67="Mayor"),CONCATENATE("R2C",'Mapa final'!$U$67),"")</f>
        <v/>
      </c>
      <c r="AH20" s="40" t="str">
        <f>IF(AND('Mapa final'!$AL$68="Muy Alta",'Mapa final'!$AN$68="Mayor"),CONCATENATE("R2C",'Mapa final'!$U$68),"")</f>
        <v/>
      </c>
      <c r="AI20" s="41" t="str">
        <f>IF(AND('Mapa final'!$AL$63="Muy Alta",'Mapa final'!$AN$63="Catastrófico"),CONCATENATE("R2C",'Mapa final'!$U$63),"")</f>
        <v/>
      </c>
      <c r="AJ20" s="42" t="str">
        <f>IF(AND('Mapa final'!$AL$64="Muy Alta",'Mapa final'!$AN$64="Catastrófico"),CONCATENATE("R2C",'Mapa final'!$U$64),"")</f>
        <v/>
      </c>
      <c r="AK20" s="42" t="str">
        <f>IF(AND('Mapa final'!$AL$65="Muy Alta",'Mapa final'!$AN$65="Catastrófico"),CONCATENATE("R2C",'Mapa final'!$U$65),"")</f>
        <v/>
      </c>
      <c r="AL20" s="42" t="str">
        <f>IF(AND('Mapa final'!$AL$66="Muy Alta",'Mapa final'!$AN$66="Catastrófico"),CONCATENATE("R2C",'Mapa final'!$U$66),"")</f>
        <v/>
      </c>
      <c r="AM20" s="42" t="str">
        <f>IF(AND('Mapa final'!$AL$67="Muy Alta",'Mapa final'!$AN$67="Catastrófico"),CONCATENATE("R2C",'Mapa final'!$U$67),"")</f>
        <v/>
      </c>
      <c r="AN20" s="43" t="str">
        <f>IF(AND('Mapa final'!$AL$68="Muy Alta",'Mapa final'!$AN$68="Catastrófico"),CONCATENATE("R2C",'Mapa final'!$U$68),"")</f>
        <v/>
      </c>
      <c r="AO20" s="69"/>
      <c r="AP20" s="520"/>
      <c r="AQ20" s="521"/>
      <c r="AR20" s="521"/>
      <c r="AS20" s="521"/>
      <c r="AT20" s="521"/>
      <c r="AU20" s="522"/>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c r="B21" s="69"/>
      <c r="C21" s="409"/>
      <c r="D21" s="409"/>
      <c r="E21" s="410"/>
      <c r="F21" s="504"/>
      <c r="G21" s="505"/>
      <c r="H21" s="505"/>
      <c r="I21" s="505"/>
      <c r="J21" s="505"/>
      <c r="K21" s="44" t="str">
        <f>IF(AND('Mapa final'!$AL$69="Muy Alta",'Mapa final'!$AN$69="Leve"),CONCATENATE("R2C",'Mapa final'!$U$69),"")</f>
        <v/>
      </c>
      <c r="L21" s="45" t="str">
        <f>IF(AND('Mapa final'!$AL$70="Muy Alta",'Mapa final'!$AN$70="Leve"),CONCATENATE("R2C",'Mapa final'!$U$70),"")</f>
        <v/>
      </c>
      <c r="M21" s="45" t="str">
        <f>IF(AND('Mapa final'!$AL$71="Muy Alta",'Mapa final'!$AN$71="Leve"),CONCATENATE("R2C",'Mapa final'!$U$71),"")</f>
        <v/>
      </c>
      <c r="N21" s="45" t="str">
        <f>IF(AND('Mapa final'!$AL$72="Muy Alta",'Mapa final'!$AN$72="Leve"),CONCATENATE("R2C",'Mapa final'!$U$72),"")</f>
        <v/>
      </c>
      <c r="O21" s="45" t="str">
        <f>IF(AND('Mapa final'!$AL$74="Muy Alta",'Mapa final'!$AN$74="Leve"),CONCATENATE("R2C",'Mapa final'!$U$74),"")</f>
        <v/>
      </c>
      <c r="P21" s="46" t="str">
        <f>IF(AND('Mapa final'!$AL$75="Muy Alta",'Mapa final'!$AN$75="Leve"),CONCATENATE("R2C",'Mapa final'!$U$75),"")</f>
        <v/>
      </c>
      <c r="Q21" s="44" t="str">
        <f>IF(AND('Mapa final'!$AL$69="Muy Alta",'Mapa final'!$AN$69="Menor"),CONCATENATE("R2C",'Mapa final'!$U$69),"")</f>
        <v/>
      </c>
      <c r="R21" s="45" t="str">
        <f>IF(AND('Mapa final'!$AL$70="Muy Alta",'Mapa final'!$AN$70="Menor"),CONCATENATE("R2C",'Mapa final'!$U$70),"")</f>
        <v/>
      </c>
      <c r="S21" s="45" t="str">
        <f>IF(AND('Mapa final'!$AL$71="Muy Alta",'Mapa final'!$AN$71="Menor"),CONCATENATE("R2C",'Mapa final'!$U$71),"")</f>
        <v/>
      </c>
      <c r="T21" s="45" t="str">
        <f>IF(AND('Mapa final'!$AL$72="Muy Alta",'Mapa final'!$AN$72="Menor"),CONCATENATE("R2C",'Mapa final'!$U$72),"")</f>
        <v/>
      </c>
      <c r="U21" s="45" t="str">
        <f>IF(AND('Mapa final'!$AL$74="Muy Alta",'Mapa final'!$AN$74="Menor"),CONCATENATE("R2C",'Mapa final'!$U$74),"")</f>
        <v/>
      </c>
      <c r="V21" s="46" t="str">
        <f>IF(AND('Mapa final'!$AL$75="Muy Alta",'Mapa final'!$AN$75="Menor"),CONCATENATE("R2C",'Mapa final'!$U$75),"")</f>
        <v/>
      </c>
      <c r="W21" s="44" t="str">
        <f>IF(AND('Mapa final'!$AL$69="Muy Alta",'Mapa final'!$AN$69="Moderado"),CONCATENATE("R2C",'Mapa final'!$U$69),"")</f>
        <v/>
      </c>
      <c r="X21" s="45" t="str">
        <f>IF(AND('Mapa final'!$AL$70="Muy Alta",'Mapa final'!$AN$70="Moderado"),CONCATENATE("R2C",'Mapa final'!$U$70),"")</f>
        <v/>
      </c>
      <c r="Y21" s="45" t="str">
        <f>IF(AND('Mapa final'!$AL$71="Muy Alta",'Mapa final'!$AN$71="Moderado"),CONCATENATE("R2C",'Mapa final'!$U$71),"")</f>
        <v/>
      </c>
      <c r="Z21" s="45" t="str">
        <f>IF(AND('Mapa final'!$AL$72="Muy Alta",'Mapa final'!$AN$72="Moderado"),CONCATENATE("R2C",'Mapa final'!$U$72),"")</f>
        <v/>
      </c>
      <c r="AA21" s="45" t="str">
        <f>IF(AND('Mapa final'!$AL$74="Muy Alta",'Mapa final'!$AN$74="Moderado"),CONCATENATE("R2C",'Mapa final'!$U$74),"")</f>
        <v/>
      </c>
      <c r="AB21" s="46" t="str">
        <f>IF(AND('Mapa final'!$AL$75="Muy Alta",'Mapa final'!$AN$75="Moderado"),CONCATENATE("R2C",'Mapa final'!$U$75),"")</f>
        <v/>
      </c>
      <c r="AC21" s="44" t="str">
        <f>IF(AND('Mapa final'!$AL$69="Muy Alta",'Mapa final'!$AN$69="Mayor"),CONCATENATE("R2C",'Mapa final'!$U$69),"")</f>
        <v/>
      </c>
      <c r="AD21" s="45" t="str">
        <f>IF(AND('Mapa final'!$AL$70="Muy Alta",'Mapa final'!$AN$70="Mayor"),CONCATENATE("R2C",'Mapa final'!$U$70),"")</f>
        <v/>
      </c>
      <c r="AE21" s="45" t="str">
        <f>IF(AND('Mapa final'!$AL$71="Muy Alta",'Mapa final'!$AN$71="Mayor"),CONCATENATE("R2C",'Mapa final'!$U$71),"")</f>
        <v/>
      </c>
      <c r="AF21" s="45" t="str">
        <f>IF(AND('Mapa final'!$AL$72="Muy Alta",'Mapa final'!$AN$72="Mayor"),CONCATENATE("R2C",'Mapa final'!$U$72),"")</f>
        <v/>
      </c>
      <c r="AG21" s="45" t="str">
        <f>IF(AND('Mapa final'!$AL$74="Muy Alta",'Mapa final'!$AN$74="Mayor"),CONCATENATE("R2C",'Mapa final'!$U$74),"")</f>
        <v/>
      </c>
      <c r="AH21" s="46" t="str">
        <f>IF(AND('Mapa final'!$AL$75="Muy Alta",'Mapa final'!$AN$75="Mayor"),CONCATENATE("R2C",'Mapa final'!$U$75),"")</f>
        <v/>
      </c>
      <c r="AI21" s="47" t="str">
        <f>IF(AND('Mapa final'!$AL$69="Muy Alta",'Mapa final'!$AN$69="Catastrófico"),CONCATENATE("R2C",'Mapa final'!$U$69),"")</f>
        <v/>
      </c>
      <c r="AJ21" s="48" t="str">
        <f>IF(AND('Mapa final'!$AL$70="Muy Alta",'Mapa final'!$AN$70="Catastrófico"),CONCATENATE("R2C",'Mapa final'!$U$70),"")</f>
        <v/>
      </c>
      <c r="AK21" s="48" t="str">
        <f>IF(AND('Mapa final'!$AL$71="Muy Alta",'Mapa final'!$AN$71="Catastrófico"),CONCATENATE("R2C",'Mapa final'!$U$71),"")</f>
        <v/>
      </c>
      <c r="AL21" s="48" t="str">
        <f>IF(AND('Mapa final'!$AL$72="Muy Alta",'Mapa final'!$AN$72="Catastrófico"),CONCATENATE("R2C",'Mapa final'!$U$72),"")</f>
        <v/>
      </c>
      <c r="AM21" s="48" t="str">
        <f>IF(AND('Mapa final'!$AL$74="Muy Alta",'Mapa final'!$AN$74="Catastrófico"),CONCATENATE("R2C",'Mapa final'!$U$74),"")</f>
        <v/>
      </c>
      <c r="AN21" s="49" t="str">
        <f>IF(AND('Mapa final'!$AL$75="Muy Alta",'Mapa final'!$AN$75="Catastrófico"),CONCATENATE("R2C",'Mapa final'!$U$75),"")</f>
        <v/>
      </c>
      <c r="AO21" s="69"/>
      <c r="AP21" s="523"/>
      <c r="AQ21" s="524"/>
      <c r="AR21" s="524"/>
      <c r="AS21" s="524"/>
      <c r="AT21" s="524"/>
      <c r="AU21" s="525"/>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c r="B22" s="69"/>
      <c r="C22" s="409"/>
      <c r="D22" s="409"/>
      <c r="E22" s="410"/>
      <c r="F22" s="498" t="s">
        <v>281</v>
      </c>
      <c r="G22" s="499"/>
      <c r="H22" s="499"/>
      <c r="I22" s="499"/>
      <c r="J22" s="499"/>
      <c r="K22" s="53" t="str">
        <f>IF(AND('Mapa final'!$AL$15="Alta",'Mapa final'!$AN$15="Leve"),CONCATENATE("R2C",'Mapa final'!$U$15),"")</f>
        <v/>
      </c>
      <c r="L22" s="54" t="str">
        <f>IF(AND('Mapa final'!$AL$28="Alta",'Mapa final'!$AN$28="Leve"),CONCATENATE("R2C",'Mapa final'!$U$28),"")</f>
        <v/>
      </c>
      <c r="M22" s="54" t="str">
        <f>IF(AND('Mapa final'!$AL$29="Alta",'Mapa final'!$AN$29="Leve"),CONCATENATE("R2C",'Mapa final'!$U$29),"")</f>
        <v/>
      </c>
      <c r="N22" s="54" t="str">
        <f>IF(AND('Mapa final'!$AL$30="Alta",'Mapa final'!$AN$30="Leve"),CONCATENATE("R2C",'Mapa final'!$U$30),"")</f>
        <v/>
      </c>
      <c r="O22" s="54" t="str">
        <f>IF(AND('Mapa final'!$AL$31="Alta",'Mapa final'!$AN$31="Leve"),CONCATENATE("R2C",'Mapa final'!$U$31),"")</f>
        <v/>
      </c>
      <c r="P22" s="55" t="str">
        <f>IF(AND('Mapa final'!$AL$32="Alta",'Mapa final'!$AN$32="Leve"),CONCATENATE("R2C",'Mapa final'!$U$32),"")</f>
        <v/>
      </c>
      <c r="Q22" s="53" t="str">
        <f>IF(AND('Mapa final'!$AL$15="Alta",'Mapa final'!$AN$15="Menor"),CONCATENATE("R2C",'Mapa final'!$U$15),"")</f>
        <v/>
      </c>
      <c r="R22" s="54" t="str">
        <f>IF(AND('Mapa final'!$AL$22="Alta",'Mapa final'!$AN$22="Menor"),CONCATENATE("R2C",'Mapa final'!$U$22),"")</f>
        <v/>
      </c>
      <c r="S22" s="54" t="str">
        <f>IF(AND('Mapa final'!$AL$23="Alta",'Mapa final'!$AN$23="Menor"),CONCATENATE("R2C",'Mapa final'!$U$23),"")</f>
        <v/>
      </c>
      <c r="T22" s="54" t="str">
        <f>IF(AND('Mapa final'!$AL$24="Alta",'Mapa final'!$AN$24="Menor"),CONCATENATE("R2C",'Mapa final'!$U$24),"")</f>
        <v/>
      </c>
      <c r="U22" s="54" t="str">
        <f>IF(AND('Mapa final'!$AL$25="Alta",'Mapa final'!$AN$25="Menor"),CONCATENATE("R2C",'Mapa final'!$U$25),"")</f>
        <v/>
      </c>
      <c r="V22" s="55" t="str">
        <f>IF(AND('Mapa final'!$AL$26="Alta",'Mapa final'!$AN$26="Menor"),CONCATENATE("R2C",'Mapa final'!$U$26),"")</f>
        <v/>
      </c>
      <c r="W22" s="38" t="str">
        <f>IF(AND('Mapa final'!$AL$15="Alta",'Mapa final'!$AN$15="Moderado"),CONCATENATE("R2C",'Mapa final'!$U$15),"")</f>
        <v/>
      </c>
      <c r="X22" s="39" t="str">
        <f>IF(AND('Mapa final'!$AL$16="Alta",'Mapa final'!$AN$16="Moderado"),CONCATENATE("R2C",'Mapa final'!$U$16),"")</f>
        <v/>
      </c>
      <c r="Y22" s="39" t="str">
        <f>IF(AND('Mapa final'!$AL$29="Alta",'Mapa final'!$AN$29="Moderado"),CONCATENATE("R2C",'Mapa final'!$U$29),"")</f>
        <v/>
      </c>
      <c r="Z22" s="39" t="str">
        <f>IF(AND('Mapa final'!$AL$30="Alta",'Mapa final'!$AN$30="Moderado"),CONCATENATE("R2C",'Mapa final'!$U$30),"")</f>
        <v/>
      </c>
      <c r="AA22" s="39" t="str">
        <f>IF(AND('Mapa final'!$AL$31="Alta",'Mapa final'!$AN$31="Moderado"),CONCATENATE("R2C",'Mapa final'!$U$31),"")</f>
        <v/>
      </c>
      <c r="AB22" s="40" t="str">
        <f>IF(AND('Mapa final'!$AL$32="Alta",'Mapa final'!$AN$32="Moderado"),CONCATENATE("R2C",'Mapa final'!$U$32),"")</f>
        <v/>
      </c>
      <c r="AC22" s="38" t="str">
        <f>IF(AND('Mapa final'!$AL$15="Alta",'Mapa final'!$AN$15="Mayor"),CONCATENATE("R2C",'Mapa final'!$U$15),"")</f>
        <v/>
      </c>
      <c r="AD22" s="39" t="str">
        <f>IF(AND('Mapa final'!$AL$16="Alta",'Mapa final'!$AN$16="Mayor"),CONCATENATE("R2C",'Mapa final'!$U$16),"")</f>
        <v/>
      </c>
      <c r="AE22" s="39" t="str">
        <f>IF(AND('Mapa final'!$AL$23="Alta",'Mapa final'!$AN$23="Mayor"),CONCATENATE("R2C",'Mapa final'!$U$23),"")</f>
        <v/>
      </c>
      <c r="AF22" s="39" t="str">
        <f>IF(AND('Mapa final'!$AL$24="Alta",'Mapa final'!$AN$24="Mayor"),CONCATENATE("R2C",'Mapa final'!$U$24),"")</f>
        <v/>
      </c>
      <c r="AG22" s="39" t="str">
        <f>IF(AND('Mapa final'!$AL$25="Alta",'Mapa final'!$AN$25="Mayor"),CONCATENATE("R2C",'Mapa final'!$U$25),"")</f>
        <v/>
      </c>
      <c r="AH22" s="40" t="str">
        <f>IF(AND('Mapa final'!$AL$26="Alta",'Mapa final'!$AN$26="Mayor"),CONCATENATE("R2C",'Mapa final'!$U$26),"")</f>
        <v/>
      </c>
      <c r="AI22" s="41" t="str">
        <f>IF(AND('Mapa final'!$AL$15="Alta",'Mapa final'!$AN$15="Catastrófico"),CONCATENATE("R2C",'Mapa final'!$U$15),"")</f>
        <v/>
      </c>
      <c r="AJ22" s="42" t="str">
        <f>IF(AND('Mapa final'!$AL$28="Alta",'Mapa final'!$AN$28="Catastrófico"),CONCATENATE("R2C",'Mapa final'!$U$28),"")</f>
        <v/>
      </c>
      <c r="AK22" s="42" t="str">
        <f>IF(AND('Mapa final'!$AL$29="Alta",'Mapa final'!$AN$29="Catastrófico"),CONCATENATE("R2C",'Mapa final'!$U$29),"")</f>
        <v/>
      </c>
      <c r="AL22" s="42" t="str">
        <f>IF(AND('Mapa final'!$AL$30="Alta",'Mapa final'!$AN$30="Catastrófico"),CONCATENATE("R2C",'Mapa final'!$U$30),"")</f>
        <v/>
      </c>
      <c r="AM22" s="42" t="str">
        <f>IF(AND('Mapa final'!$AL$31="Alta",'Mapa final'!$AN$31="Catastrófico"),CONCATENATE("R2C",'Mapa final'!$U$31),"")</f>
        <v/>
      </c>
      <c r="AN22" s="43" t="str">
        <f>IF(AND('Mapa final'!$AL$32="Alta",'Mapa final'!$AN$32="Catastrófico"),CONCATENATE("R2C",'Mapa final'!$U$32),"")</f>
        <v/>
      </c>
      <c r="AO22" s="69"/>
      <c r="AP22" s="507" t="s">
        <v>282</v>
      </c>
      <c r="AQ22" s="508"/>
      <c r="AR22" s="508"/>
      <c r="AS22" s="508"/>
      <c r="AT22" s="508"/>
      <c r="AU22" s="50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c r="B23" s="69"/>
      <c r="C23" s="409"/>
      <c r="D23" s="409"/>
      <c r="E23" s="410"/>
      <c r="F23" s="516"/>
      <c r="G23" s="502"/>
      <c r="H23" s="502"/>
      <c r="I23" s="502"/>
      <c r="J23" s="502"/>
      <c r="K23" s="53" t="str">
        <f>IF(AND('Mapa final'!$AL$21="Alta",'Mapa final'!$AN$21="Leve"),CONCATENATE("R2C",'Mapa final'!$U$21),"")</f>
        <v/>
      </c>
      <c r="L23" s="54" t="str">
        <f>IF(AND('Mapa final'!$AL$28="Alta",'Mapa final'!$AN$28="Leve"),CONCATENATE("R2C",'Mapa final'!$U$28),"")</f>
        <v/>
      </c>
      <c r="M23" s="54" t="str">
        <f>IF(AND('Mapa final'!$AL$29="Alta",'Mapa final'!$AN$29="Leve"),CONCATENATE("R2C",'Mapa final'!$U$29),"")</f>
        <v/>
      </c>
      <c r="N23" s="54" t="str">
        <f>IF(AND('Mapa final'!$AL$30="Alta",'Mapa final'!$AN$30="Leve"),CONCATENATE("R2C",'Mapa final'!$U$30),"")</f>
        <v/>
      </c>
      <c r="O23" s="54" t="str">
        <f>IF(AND('Mapa final'!$AL$31="Alta",'Mapa final'!$AN$31="Leve"),CONCATENATE("R2C",'Mapa final'!$U$31),"")</f>
        <v/>
      </c>
      <c r="P23" s="55" t="str">
        <f>IF(AND('Mapa final'!$AL$32="Alta",'Mapa final'!$AN$32="Leve"),CONCATENATE("R2C",'Mapa final'!$U$32),"")</f>
        <v/>
      </c>
      <c r="Q23" s="53" t="str">
        <f>IF(AND('Mapa final'!$AL$21="Alta",'Mapa final'!$AN$21="Menor"),CONCATENATE("R2C",'Mapa final'!$U$21),"")</f>
        <v/>
      </c>
      <c r="R23" s="54" t="str">
        <f>IF(AND('Mapa final'!$AL$22="Alta",'Mapa final'!$AN$22="Menor"),CONCATENATE("R2C",'Mapa final'!$U$22),"")</f>
        <v/>
      </c>
      <c r="S23" s="54" t="str">
        <f>IF(AND('Mapa final'!$AL$23="Alta",'Mapa final'!$AN$23="Menor"),CONCATENATE("R2C",'Mapa final'!$U$23),"")</f>
        <v/>
      </c>
      <c r="T23" s="54" t="str">
        <f>IF(AND('Mapa final'!$AL$24="Alta",'Mapa final'!$AN$24="Menor"),CONCATENATE("R2C",'Mapa final'!$U$24),"")</f>
        <v/>
      </c>
      <c r="U23" s="54" t="str">
        <f>IF(AND('Mapa final'!$AL$25="Alta",'Mapa final'!$AN$25="Menor"),CONCATENATE("R2C",'Mapa final'!$U$25),"")</f>
        <v/>
      </c>
      <c r="V23" s="55" t="str">
        <f>IF(AND('Mapa final'!$AL$26="Alta",'Mapa final'!$AN$26="Menor"),CONCATENATE("R2C",'Mapa final'!$U$26),"")</f>
        <v/>
      </c>
      <c r="W23" s="38" t="str">
        <f>IF(AND('Mapa final'!$AL$21="Alta",'Mapa final'!$AN$21="Moderado"),CONCATENATE("R2C",'Mapa final'!$U$21),"")</f>
        <v/>
      </c>
      <c r="X23" s="39" t="str">
        <f>IF(AND('Mapa final'!$AL$22="Alta",'Mapa final'!$AN$22="Moderado"),CONCATENATE("R2C",'Mapa final'!$U$22),"")</f>
        <v/>
      </c>
      <c r="Y23" s="39" t="str">
        <f>IF(AND('Mapa final'!$AL$29="Alta",'Mapa final'!$AN$29="Moderado"),CONCATENATE("R2C",'Mapa final'!$U$29),"")</f>
        <v/>
      </c>
      <c r="Z23" s="39" t="str">
        <f>IF(AND('Mapa final'!$AL$30="Alta",'Mapa final'!$AN$30="Moderado"),CONCATENATE("R2C",'Mapa final'!$U$30),"")</f>
        <v/>
      </c>
      <c r="AA23" s="39" t="str">
        <f>IF(AND('Mapa final'!$AL$31="Alta",'Mapa final'!$AN$31="Moderado"),CONCATENATE("R2C",'Mapa final'!$U$31),"")</f>
        <v/>
      </c>
      <c r="AB23" s="40" t="str">
        <f>IF(AND('Mapa final'!$AL$32="Alta",'Mapa final'!$AN$32="Moderado"),CONCATENATE("R2C",'Mapa final'!$U$32),"")</f>
        <v/>
      </c>
      <c r="AC23" s="38" t="str">
        <f>IF(AND('Mapa final'!$AL$21="Alta",'Mapa final'!$AN$21="Mayor"),CONCATENATE("R2C",'Mapa final'!$U$21),"")</f>
        <v/>
      </c>
      <c r="AD23" s="39" t="str">
        <f>IF(AND('Mapa final'!$AL$22="Alta",'Mapa final'!$AN$22="Mayor"),CONCATENATE("R2C",'Mapa final'!$U$22),"")</f>
        <v/>
      </c>
      <c r="AE23" s="39" t="str">
        <f>IF(AND('Mapa final'!$AL$23="Alta",'Mapa final'!$AN$23="Mayor"),CONCATENATE("R2C",'Mapa final'!$U$23),"")</f>
        <v/>
      </c>
      <c r="AF23" s="39" t="str">
        <f>IF(AND('Mapa final'!$AL$24="Alta",'Mapa final'!$AN$24="Mayor"),CONCATENATE("R2C",'Mapa final'!$U$24),"")</f>
        <v/>
      </c>
      <c r="AG23" s="39" t="str">
        <f>IF(AND('Mapa final'!$AL$25="Alta",'Mapa final'!$AN$25="Mayor"),CONCATENATE("R2C",'Mapa final'!$U$25),"")</f>
        <v/>
      </c>
      <c r="AH23" s="40" t="str">
        <f>IF(AND('Mapa final'!$AL$26="Alta",'Mapa final'!$AN$26="Mayor"),CONCATENATE("R2C",'Mapa final'!$U$26),"")</f>
        <v/>
      </c>
      <c r="AI23" s="41" t="str">
        <f>IF(AND('Mapa final'!$AL$21="Alta",'Mapa final'!$AN$21="Catastrófico"),CONCATENATE("R2C",'Mapa final'!$U$21),"")</f>
        <v/>
      </c>
      <c r="AJ23" s="42" t="str">
        <f>IF(AND('Mapa final'!$AL$28="Alta",'Mapa final'!$AN$28="Catastrófico"),CONCATENATE("R2C",'Mapa final'!$U$28),"")</f>
        <v/>
      </c>
      <c r="AK23" s="42" t="str">
        <f>IF(AND('Mapa final'!$AL$29="Alta",'Mapa final'!$AN$29="Catastrófico"),CONCATENATE("R2C",'Mapa final'!$U$29),"")</f>
        <v/>
      </c>
      <c r="AL23" s="42" t="str">
        <f>IF(AND('Mapa final'!$AL$30="Alta",'Mapa final'!$AN$30="Catastrófico"),CONCATENATE("R2C",'Mapa final'!$U$30),"")</f>
        <v/>
      </c>
      <c r="AM23" s="42" t="str">
        <f>IF(AND('Mapa final'!$AL$31="Alta",'Mapa final'!$AN$31="Catastrófico"),CONCATENATE("R2C",'Mapa final'!$U$31),"")</f>
        <v/>
      </c>
      <c r="AN23" s="43" t="str">
        <f>IF(AND('Mapa final'!$AL$32="Alta",'Mapa final'!$AN$32="Catastrófico"),CONCATENATE("R2C",'Mapa final'!$U$32),"")</f>
        <v/>
      </c>
      <c r="AO23" s="69"/>
      <c r="AP23" s="510"/>
      <c r="AQ23" s="511"/>
      <c r="AR23" s="511"/>
      <c r="AS23" s="511"/>
      <c r="AT23" s="511"/>
      <c r="AU23" s="512"/>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c r="B24" s="69"/>
      <c r="C24" s="409"/>
      <c r="D24" s="409"/>
      <c r="E24" s="410"/>
      <c r="F24" s="501"/>
      <c r="G24" s="502"/>
      <c r="H24" s="502"/>
      <c r="I24" s="502"/>
      <c r="J24" s="502"/>
      <c r="K24" s="53" t="str">
        <f>IF(AND('Mapa final'!$AL$27="Alta",'Mapa final'!$AN$27="Leve"),CONCATENATE("R2C",'Mapa final'!$U$27),"")</f>
        <v/>
      </c>
      <c r="L24" s="54" t="str">
        <f>IF(AND('Mapa final'!$AL$28="Alta",'Mapa final'!$AN$28="Leve"),CONCATENATE("R2C",'Mapa final'!$U$28),"")</f>
        <v/>
      </c>
      <c r="M24" s="54" t="str">
        <f>IF(AND('Mapa final'!$AL$29="Alta",'Mapa final'!$AN$29="Leve"),CONCATENATE("R2C",'Mapa final'!$U$29),"")</f>
        <v/>
      </c>
      <c r="N24" s="54" t="str">
        <f>IF(AND('Mapa final'!$AL$30="Alta",'Mapa final'!$AN$30="Leve"),CONCATENATE("R2C",'Mapa final'!$U$30),"")</f>
        <v/>
      </c>
      <c r="O24" s="54" t="str">
        <f>IF(AND('Mapa final'!$AL$31="Alta",'Mapa final'!$AN$31="Leve"),CONCATENATE("R2C",'Mapa final'!$U$31),"")</f>
        <v/>
      </c>
      <c r="P24" s="55" t="str">
        <f>IF(AND('Mapa final'!$AL$32="Alta",'Mapa final'!$AN$32="Leve"),CONCATENATE("R2C",'Mapa final'!$U$32),"")</f>
        <v/>
      </c>
      <c r="Q24" s="53" t="str">
        <f>IF(AND('Mapa final'!$AL$27="Alta",'Mapa final'!$AN$27="Menor"),CONCATENATE("R2C",'Mapa final'!$U$27),"")</f>
        <v/>
      </c>
      <c r="R24" s="54" t="str">
        <f>IF(AND('Mapa final'!$AL$28="Alta",'Mapa final'!$AN$28="Menor"),CONCATENATE("R2C",'Mapa final'!$U$28),"")</f>
        <v/>
      </c>
      <c r="S24" s="54" t="str">
        <f>IF(AND('Mapa final'!$AL$29="Alta",'Mapa final'!$AN$29="Menor"),CONCATENATE("R2C",'Mapa final'!$U$29),"")</f>
        <v/>
      </c>
      <c r="T24" s="54" t="str">
        <f>IF(AND('Mapa final'!$AL$30="Alta",'Mapa final'!$AN$30="Menor"),CONCATENATE("R2C",'Mapa final'!$U$30),"")</f>
        <v/>
      </c>
      <c r="U24" s="54" t="str">
        <f>IF(AND('Mapa final'!$AL$31="Alta",'Mapa final'!$AN$31="Menor"),CONCATENATE("R2C",'Mapa final'!$U$31),"")</f>
        <v/>
      </c>
      <c r="V24" s="55" t="str">
        <f>IF(AND('Mapa final'!$AL$32="Alta",'Mapa final'!$AN$32="Menor"),CONCATENATE("R2C",'Mapa final'!$U$32),"")</f>
        <v/>
      </c>
      <c r="W24" s="38" t="str">
        <f>IF(AND('Mapa final'!$AL$27="Alta",'Mapa final'!$AN$27="Moderado"),CONCATENATE("R2C",'Mapa final'!$U$27),"")</f>
        <v/>
      </c>
      <c r="X24" s="39" t="str">
        <f>IF(AND('Mapa final'!$AL$28="Alta",'Mapa final'!$AN$28="Moderado"),CONCATENATE("R2C",'Mapa final'!$U$28),"")</f>
        <v/>
      </c>
      <c r="Y24" s="39" t="str">
        <f>IF(AND('Mapa final'!$AL$29="Alta",'Mapa final'!$AN$29="Moderado"),CONCATENATE("R2C",'Mapa final'!$U$29),"")</f>
        <v/>
      </c>
      <c r="Z24" s="39" t="str">
        <f>IF(AND('Mapa final'!$AL$30="Alta",'Mapa final'!$AN$30="Moderado"),CONCATENATE("R2C",'Mapa final'!$U$30),"")</f>
        <v/>
      </c>
      <c r="AA24" s="39" t="str">
        <f>IF(AND('Mapa final'!$AL$31="Alta",'Mapa final'!$AN$31="Moderado"),CONCATENATE("R2C",'Mapa final'!$U$31),"")</f>
        <v/>
      </c>
      <c r="AB24" s="40" t="str">
        <f>IF(AND('Mapa final'!$AL$32="Alta",'Mapa final'!$AN$32="Moderado"),CONCATENATE("R2C",'Mapa final'!$U$32),"")</f>
        <v/>
      </c>
      <c r="AC24" s="38" t="str">
        <f>IF(AND('Mapa final'!$AL$27="Alta",'Mapa final'!$AN$27="Mayor"),CONCATENATE("R2C",'Mapa final'!$U$27),"")</f>
        <v/>
      </c>
      <c r="AD24" s="39" t="str">
        <f>IF(AND('Mapa final'!$AL$28="Alta",'Mapa final'!$AN$28="Mayor"),CONCATENATE("R2C",'Mapa final'!$U$28),"")</f>
        <v/>
      </c>
      <c r="AE24" s="39" t="str">
        <f>IF(AND('Mapa final'!$AL$29="Alta",'Mapa final'!$AN$29="Mayor"),CONCATENATE("R2C",'Mapa final'!$U$29),"")</f>
        <v/>
      </c>
      <c r="AF24" s="39" t="str">
        <f>IF(AND('Mapa final'!$AL$30="Alta",'Mapa final'!$AN$30="Mayor"),CONCATENATE("R2C",'Mapa final'!$U$30),"")</f>
        <v/>
      </c>
      <c r="AG24" s="39" t="str">
        <f>IF(AND('Mapa final'!$AL$31="Alta",'Mapa final'!$AN$31="Mayor"),CONCATENATE("R2C",'Mapa final'!$U$31),"")</f>
        <v/>
      </c>
      <c r="AH24" s="40" t="str">
        <f>IF(AND('Mapa final'!$AL$32="Alta",'Mapa final'!$AN$32="Mayor"),CONCATENATE("R2C",'Mapa final'!$U$32),"")</f>
        <v/>
      </c>
      <c r="AI24" s="41" t="str">
        <f>IF(AND('Mapa final'!$AL$27="Alta",'Mapa final'!$AN$27="Catastrófico"),CONCATENATE("R2C",'Mapa final'!$U$27),"")</f>
        <v/>
      </c>
      <c r="AJ24" s="42" t="str">
        <f>IF(AND('Mapa final'!$AL$28="Alta",'Mapa final'!$AN$28="Catastrófico"),CONCATENATE("R2C",'Mapa final'!$U$28),"")</f>
        <v/>
      </c>
      <c r="AK24" s="42" t="str">
        <f>IF(AND('Mapa final'!$AL$29="Alta",'Mapa final'!$AN$29="Catastrófico"),CONCATENATE("R2C",'Mapa final'!$U$29),"")</f>
        <v/>
      </c>
      <c r="AL24" s="42" t="str">
        <f>IF(AND('Mapa final'!$AL$30="Alta",'Mapa final'!$AN$30="Catastrófico"),CONCATENATE("R2C",'Mapa final'!$U$30),"")</f>
        <v/>
      </c>
      <c r="AM24" s="42" t="str">
        <f>IF(AND('Mapa final'!$AL$31="Alta",'Mapa final'!$AN$31="Catastrófico"),CONCATENATE("R2C",'Mapa final'!$U$31),"")</f>
        <v/>
      </c>
      <c r="AN24" s="43" t="str">
        <f>IF(AND('Mapa final'!$AL$32="Alta",'Mapa final'!$AN$32="Catastrófico"),CONCATENATE("R2C",'Mapa final'!$U$32),"")</f>
        <v/>
      </c>
      <c r="AO24" s="69"/>
      <c r="AP24" s="510"/>
      <c r="AQ24" s="511"/>
      <c r="AR24" s="511"/>
      <c r="AS24" s="511"/>
      <c r="AT24" s="511"/>
      <c r="AU24" s="512"/>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c r="B25" s="69"/>
      <c r="C25" s="409"/>
      <c r="D25" s="409"/>
      <c r="E25" s="410"/>
      <c r="F25" s="501"/>
      <c r="G25" s="502"/>
      <c r="H25" s="502"/>
      <c r="I25" s="502"/>
      <c r="J25" s="502"/>
      <c r="K25" s="53" t="str">
        <f>IF(AND('Mapa final'!$AL$33="Alta",'Mapa final'!$AN$33="Leve"),CONCATENATE("R2C",'Mapa final'!$U$33),"")</f>
        <v/>
      </c>
      <c r="L25" s="54" t="str">
        <f>IF(AND('Mapa final'!$AL$34="Alta",'Mapa final'!$AN$34="Leve"),CONCATENATE("R2C",'Mapa final'!$U$34),"")</f>
        <v/>
      </c>
      <c r="M25" s="54" t="str">
        <f>IF(AND('Mapa final'!$AL$35="Alta",'Mapa final'!$AN$35="Leve"),CONCATENATE("R2C",'Mapa final'!$U$35),"")</f>
        <v/>
      </c>
      <c r="N25" s="54" t="str">
        <f>IF(AND('Mapa final'!$AL$36="Alta",'Mapa final'!$AN$36="Leve"),CONCATENATE("R2C",'Mapa final'!$U$36),"")</f>
        <v/>
      </c>
      <c r="O25" s="54" t="str">
        <f>IF(AND('Mapa final'!$AL$37="Alta",'Mapa final'!$AN$37="Leve"),CONCATENATE("R2C",'Mapa final'!$U$37),"")</f>
        <v/>
      </c>
      <c r="P25" s="55" t="str">
        <f>IF(AND('Mapa final'!$AL$38="Alta",'Mapa final'!$AN$38="Leve"),CONCATENATE("R2C",'Mapa final'!$U$38),"")</f>
        <v/>
      </c>
      <c r="Q25" s="53" t="str">
        <f>IF(AND('Mapa final'!$AL$33="Alta",'Mapa final'!$AN$33="Menor"),CONCATENATE("R2C",'Mapa final'!$U$33),"")</f>
        <v/>
      </c>
      <c r="R25" s="54" t="str">
        <f>IF(AND('Mapa final'!$AL$34="Alta",'Mapa final'!$AN$34="Menor"),CONCATENATE("R2C",'Mapa final'!$U$34),"")</f>
        <v/>
      </c>
      <c r="S25" s="54" t="str">
        <f>IF(AND('Mapa final'!$AL$35="Alta",'Mapa final'!$AN$35="Menor"),CONCATENATE("R2C",'Mapa final'!$U$35),"")</f>
        <v/>
      </c>
      <c r="T25" s="54" t="str">
        <f>IF(AND('Mapa final'!$AL$36="Alta",'Mapa final'!$AN$36="Menor"),CONCATENATE("R2C",'Mapa final'!$U$36),"")</f>
        <v/>
      </c>
      <c r="U25" s="54" t="str">
        <f>IF(AND('Mapa final'!$AL$37="Alta",'Mapa final'!$AN$37="LMenor"),CONCATENATE("R2C",'Mapa final'!$U$37),"")</f>
        <v/>
      </c>
      <c r="V25" s="55" t="str">
        <f>IF(AND('Mapa final'!$AL$38="Alta",'Mapa final'!$AN$38="Menor"),CONCATENATE("R2C",'Mapa final'!$U$38),"")</f>
        <v/>
      </c>
      <c r="W25" s="38" t="str">
        <f>IF(AND('Mapa final'!$AL$33="Alta",'Mapa final'!$AN$33="Moderado"),CONCATENATE("R2C",'Mapa final'!$U$33),"")</f>
        <v/>
      </c>
      <c r="X25" s="39" t="str">
        <f>IF(AND('Mapa final'!$AL$34="Alta",'Mapa final'!$AN$34="Moderado"),CONCATENATE("R2C",'Mapa final'!$U$34),"")</f>
        <v/>
      </c>
      <c r="Y25" s="39" t="str">
        <f>IF(AND('Mapa final'!$AL$35="Alta",'Mapa final'!$AN$35="Moderado"),CONCATENATE("R2C",'Mapa final'!$U$35),"")</f>
        <v/>
      </c>
      <c r="Z25" s="39" t="str">
        <f>IF(AND('Mapa final'!$AL$36="Alta",'Mapa final'!$AN$36="Moderado"),CONCATENATE("R2C",'Mapa final'!$U$36),"")</f>
        <v/>
      </c>
      <c r="AA25" s="39" t="str">
        <f>IF(AND('Mapa final'!$AL$37="Alta",'Mapa final'!$AN$37="Moderado"),CONCATENATE("R2C",'Mapa final'!$U$37),"")</f>
        <v/>
      </c>
      <c r="AB25" s="40" t="str">
        <f>IF(AND('Mapa final'!$AL$38="Alta",'Mapa final'!$AN$38="Moderado"),CONCATENATE("R2C",'Mapa final'!$U$38),"")</f>
        <v/>
      </c>
      <c r="AC25" s="38" t="str">
        <f>IF(AND('Mapa final'!$AL$33="Alta",'Mapa final'!$AN$33="Mayor"),CONCATENATE("R2C",'Mapa final'!$U$33),"")</f>
        <v/>
      </c>
      <c r="AD25" s="39" t="str">
        <f>IF(AND('Mapa final'!$AL$34="Alta",'Mapa final'!$AN$34="Mayor"),CONCATENATE("R2C",'Mapa final'!$U$34),"")</f>
        <v/>
      </c>
      <c r="AE25" s="39" t="str">
        <f>IF(AND('Mapa final'!$AL$35="Alta",'Mapa final'!$AN$35="Mayor"),CONCATENATE("R2C",'Mapa final'!$U$35),"")</f>
        <v/>
      </c>
      <c r="AF25" s="39" t="str">
        <f>IF(AND('Mapa final'!$AL$36="Alta",'Mapa final'!$AN$36="Mayor"),CONCATENATE("R2C",'Mapa final'!$U$36),"")</f>
        <v/>
      </c>
      <c r="AG25" s="39" t="str">
        <f>IF(AND('Mapa final'!$AL$37="Alta",'Mapa final'!$AN$37="Mayor"),CONCATENATE("R2C",'Mapa final'!$U$37),"")</f>
        <v/>
      </c>
      <c r="AH25" s="40" t="str">
        <f>IF(AND('Mapa final'!$AL$38="Alta",'Mapa final'!$AN$38="Mayor"),CONCATENATE("R2C",'Mapa final'!$U$38),"")</f>
        <v/>
      </c>
      <c r="AI25" s="41" t="str">
        <f>IF(AND('Mapa final'!$AL$33="Alta",'Mapa final'!$AN$33="Catastrófico"),CONCATENATE("R2C",'Mapa final'!$U$33),"")</f>
        <v/>
      </c>
      <c r="AJ25" s="42" t="str">
        <f>IF(AND('Mapa final'!$AL$34="Alta",'Mapa final'!$AN$34="Catastrófico"),CONCATENATE("R2C",'Mapa final'!$U$34),"")</f>
        <v/>
      </c>
      <c r="AK25" s="42" t="str">
        <f>IF(AND('Mapa final'!$AL$35="Alta",'Mapa final'!$AN$35="Catastrófico"),CONCATENATE("R2C",'Mapa final'!$U$35),"")</f>
        <v/>
      </c>
      <c r="AL25" s="42" t="str">
        <f>IF(AND('Mapa final'!$AL$36="Alta",'Mapa final'!$AN$36="Catastrófico"),CONCATENATE("R2C",'Mapa final'!$U$36),"")</f>
        <v/>
      </c>
      <c r="AM25" s="42" t="str">
        <f>IF(AND('Mapa final'!$AL$37="Alta",'Mapa final'!$AN$37="LCatastrófico"),CONCATENATE("R2C",'Mapa final'!$U$37),"")</f>
        <v/>
      </c>
      <c r="AN25" s="43" t="str">
        <f>IF(AND('Mapa final'!$AL$38="Alta",'Mapa final'!$AN$38="Catastrófico"),CONCATENATE("R2C",'Mapa final'!$U$38),"")</f>
        <v/>
      </c>
      <c r="AO25" s="69"/>
      <c r="AP25" s="510"/>
      <c r="AQ25" s="511"/>
      <c r="AR25" s="511"/>
      <c r="AS25" s="511"/>
      <c r="AT25" s="511"/>
      <c r="AU25" s="512"/>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c r="B26" s="69"/>
      <c r="C26" s="409"/>
      <c r="D26" s="409"/>
      <c r="E26" s="410"/>
      <c r="F26" s="501"/>
      <c r="G26" s="502"/>
      <c r="H26" s="502"/>
      <c r="I26" s="502"/>
      <c r="J26" s="502"/>
      <c r="K26" s="53" t="str">
        <f>IF(AND('Mapa final'!$AL$39="Alta",'Mapa final'!$AN$39="Leve"),CONCATENATE("R2C",'Mapa final'!$U$39),"")</f>
        <v/>
      </c>
      <c r="L26" s="54" t="str">
        <f>IF(AND('Mapa final'!$AL$40="Alta",'Mapa final'!$AN$40="Leve"),CONCATENATE("R2C",'Mapa final'!$U$40),"")</f>
        <v/>
      </c>
      <c r="M26" s="54" t="str">
        <f>IF(AND('Mapa final'!$AL$41="Alta",'Mapa final'!$AN$41="Leve"),CONCATENATE("R2C",'Mapa final'!$U$41),"")</f>
        <v/>
      </c>
      <c r="N26" s="54" t="str">
        <f>IF(AND('Mapa final'!$AL$42="Alta",'Mapa final'!$AN$42="Leve"),CONCATENATE("R2C",'Mapa final'!$U$42),"")</f>
        <v/>
      </c>
      <c r="O26" s="54" t="str">
        <f>IF(AND('Mapa final'!$AL$43="Alta",'Mapa final'!$AN$43="Leve"),CONCATENATE("R2C",'Mapa final'!$U$43),"")</f>
        <v/>
      </c>
      <c r="P26" s="55" t="str">
        <f>IF(AND('Mapa final'!$AL$44="Alta",'Mapa final'!$AN$44="Leve"),CONCATENATE("R2C",'Mapa final'!$U$44),"")</f>
        <v/>
      </c>
      <c r="Q26" s="53" t="str">
        <f>IF(AND('Mapa final'!$AL$39="Alta",'Mapa final'!$AN$39="Menor"),CONCATENATE("R2C",'Mapa final'!$U$39),"")</f>
        <v/>
      </c>
      <c r="R26" s="54" t="str">
        <f>IF(AND('Mapa final'!$AL$40="Alta",'Mapa final'!$AN$40="Menor"),CONCATENATE("R2C",'Mapa final'!$U$40),"")</f>
        <v/>
      </c>
      <c r="S26" s="54" t="str">
        <f>IF(AND('Mapa final'!$AL$41="Alta",'Mapa final'!$AN$41="Menor"),CONCATENATE("R2C",'Mapa final'!$U$41),"")</f>
        <v/>
      </c>
      <c r="T26" s="54" t="str">
        <f>IF(AND('Mapa final'!$AL$42="Alta",'Mapa final'!$AN$42="Menor"),CONCATENATE("R2C",'Mapa final'!$U$42),"")</f>
        <v/>
      </c>
      <c r="U26" s="54" t="str">
        <f>IF(AND('Mapa final'!$AL$43="Alta",'Mapa final'!$AN$43="Menor"),CONCATENATE("R2C",'Mapa final'!$U$43),"")</f>
        <v/>
      </c>
      <c r="V26" s="55" t="str">
        <f>IF(AND('Mapa final'!$AL$44="Alta",'Mapa final'!$AN$44="Menor"),CONCATENATE("R2C",'Mapa final'!$U$44),"")</f>
        <v/>
      </c>
      <c r="W26" s="38" t="str">
        <f>IF(AND('Mapa final'!$AL$39="Alta",'Mapa final'!$AN$39="Moderado"),CONCATENATE("R2C",'Mapa final'!$U$39),"")</f>
        <v/>
      </c>
      <c r="X26" s="39" t="str">
        <f>IF(AND('Mapa final'!$AL$40="Alta",'Mapa final'!$AN$40="Moderado"),CONCATENATE("R2C",'Mapa final'!$U$40),"")</f>
        <v/>
      </c>
      <c r="Y26" s="39" t="str">
        <f>IF(AND('Mapa final'!$AL$41="Alta",'Mapa final'!$AN$41="Moderado"),CONCATENATE("R2C",'Mapa final'!$U$41),"")</f>
        <v/>
      </c>
      <c r="Z26" s="39" t="str">
        <f>IF(AND('Mapa final'!$AL$42="Alta",'Mapa final'!$AN$42="Moderado"),CONCATENATE("R2C",'Mapa final'!$U$42),"")</f>
        <v/>
      </c>
      <c r="AA26" s="39" t="str">
        <f>IF(AND('Mapa final'!$AL$43="Alta",'Mapa final'!$AN$43="Moderado"),CONCATENATE("R2C",'Mapa final'!$U$43),"")</f>
        <v/>
      </c>
      <c r="AB26" s="40" t="str">
        <f>IF(AND('Mapa final'!$AL$44="Alta",'Mapa final'!$AN$44="Moderado"),CONCATENATE("R2C",'Mapa final'!$U$44),"")</f>
        <v/>
      </c>
      <c r="AC26" s="38" t="str">
        <f>IF(AND('Mapa final'!$AL$39="Alta",'Mapa final'!$AN$39="Mayor"),CONCATENATE("R2C",'Mapa final'!$U$39),"")</f>
        <v/>
      </c>
      <c r="AD26" s="39" t="str">
        <f>IF(AND('Mapa final'!$AL$40="Alta",'Mapa final'!$AN$40="Mayor"),CONCATENATE("R2C",'Mapa final'!$U$40),"")</f>
        <v/>
      </c>
      <c r="AE26" s="39" t="str">
        <f>IF(AND('Mapa final'!$AL$41="Alta",'Mapa final'!$AN$41="Mayor"),CONCATENATE("R2C",'Mapa final'!$U$41),"")</f>
        <v/>
      </c>
      <c r="AF26" s="39" t="str">
        <f>IF(AND('Mapa final'!$AL$42="Alta",'Mapa final'!$AN$42="Mayor"),CONCATENATE("R2C",'Mapa final'!$U$42),"")</f>
        <v/>
      </c>
      <c r="AG26" s="39" t="str">
        <f>IF(AND('Mapa final'!$AL$43="Alta",'Mapa final'!$AN$43="Mayor"),CONCATENATE("R2C",'Mapa final'!$U$43),"")</f>
        <v/>
      </c>
      <c r="AH26" s="40" t="str">
        <f>IF(AND('Mapa final'!$AL$44="Alta",'Mapa final'!$AN$44="Mayor"),CONCATENATE("R2C",'Mapa final'!$U$44),"")</f>
        <v/>
      </c>
      <c r="AI26" s="41" t="str">
        <f>IF(AND('Mapa final'!$AL$39="Alta",'Mapa final'!$AN$39="Catastrófico"),CONCATENATE("R2C",'Mapa final'!$U$39),"")</f>
        <v/>
      </c>
      <c r="AJ26" s="42" t="str">
        <f>IF(AND('Mapa final'!$AL$40="Alta",'Mapa final'!$AN$40="Catastrófico"),CONCATENATE("R2C",'Mapa final'!$U$40),"")</f>
        <v/>
      </c>
      <c r="AK26" s="42" t="str">
        <f>IF(AND('Mapa final'!$AL$41="Alta",'Mapa final'!$AN$41="Catastrófico"),CONCATENATE("R2C",'Mapa final'!$U$41),"")</f>
        <v/>
      </c>
      <c r="AL26" s="42" t="str">
        <f>IF(AND('Mapa final'!$AL$42="Alta",'Mapa final'!$AN$42="Catastrófico"),CONCATENATE("R2C",'Mapa final'!$U$42),"")</f>
        <v/>
      </c>
      <c r="AM26" s="42" t="str">
        <f>IF(AND('Mapa final'!$AL$43="Alta",'Mapa final'!$AN$43="Catastrófico"),CONCATENATE("R2C",'Mapa final'!$U$43),"")</f>
        <v/>
      </c>
      <c r="AN26" s="43" t="str">
        <f>IF(AND('Mapa final'!$AL$44="Alta",'Mapa final'!$AN$44="Catastrófico"),CONCATENATE("R2C",'Mapa final'!$U$44),"")</f>
        <v/>
      </c>
      <c r="AO26" s="69"/>
      <c r="AP26" s="510"/>
      <c r="AQ26" s="511"/>
      <c r="AR26" s="511"/>
      <c r="AS26" s="511"/>
      <c r="AT26" s="511"/>
      <c r="AU26" s="512"/>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c r="B27" s="69"/>
      <c r="C27" s="409"/>
      <c r="D27" s="409"/>
      <c r="E27" s="410"/>
      <c r="F27" s="501"/>
      <c r="G27" s="502"/>
      <c r="H27" s="502"/>
      <c r="I27" s="502"/>
      <c r="J27" s="502"/>
      <c r="K27" s="53" t="str">
        <f>IF(AND('Mapa final'!$AL$45="Alta",'Mapa final'!$AN$45="Leve"),CONCATENATE("R2C",'Mapa final'!$U$45),"")</f>
        <v/>
      </c>
      <c r="L27" s="54" t="str">
        <f>IF(AND('Mapa final'!$AL$46="Alta",'Mapa final'!$AN$46="Leve"),CONCATENATE("R2C",'Mapa final'!$U$46),"")</f>
        <v/>
      </c>
      <c r="M27" s="54" t="str">
        <f>IF(AND('Mapa final'!$AL$47="Alta",'Mapa final'!$AN$47="Leve"),CONCATENATE("R2C",'Mapa final'!$U$47),"")</f>
        <v/>
      </c>
      <c r="N27" s="54" t="str">
        <f>IF(AND('Mapa final'!$AL$48="Alta",'Mapa final'!$AN$48="Leve"),CONCATENATE("R2C",'Mapa final'!$U$48),"")</f>
        <v/>
      </c>
      <c r="O27" s="54" t="str">
        <f>IF(AND('Mapa final'!$AL$49="Alta",'Mapa final'!$AN$49="Leve"),CONCATENATE("R2C",'Mapa final'!$U$49),"")</f>
        <v/>
      </c>
      <c r="P27" s="55" t="str">
        <f>IF(AND('Mapa final'!$AL$60="Alta",'Mapa final'!$AN$50="Leve"),CONCATENATE("R2C",'Mapa final'!$U$50),"")</f>
        <v/>
      </c>
      <c r="Q27" s="53" t="str">
        <f>IF(AND('Mapa final'!$AL$45="Alta",'Mapa final'!$AN$45="Menor"),CONCATENATE("R2C",'Mapa final'!$U$45),"")</f>
        <v/>
      </c>
      <c r="R27" s="54" t="str">
        <f>IF(AND('Mapa final'!$AL$46="Alta",'Mapa final'!$AN$46="Menor"),CONCATENATE("R2C",'Mapa final'!$U$46),"")</f>
        <v/>
      </c>
      <c r="S27" s="54" t="str">
        <f>IF(AND('Mapa final'!$AL$47="Alta",'Mapa final'!$AN$47="Menor"),CONCATENATE("R2C",'Mapa final'!$U$47),"")</f>
        <v/>
      </c>
      <c r="T27" s="54" t="str">
        <f>IF(AND('Mapa final'!$AL$48="Alta",'Mapa final'!$AN$48="Menor"),CONCATENATE("R2C",'Mapa final'!$U$48),"")</f>
        <v/>
      </c>
      <c r="U27" s="54" t="str">
        <f>IF(AND('Mapa final'!$AL$49="Alta",'Mapa final'!$AN$49="Menor"),CONCATENATE("R2C",'Mapa final'!$U$49),"")</f>
        <v/>
      </c>
      <c r="V27" s="55" t="str">
        <f>IF(AND('Mapa final'!$AL$60="Alta",'Mapa final'!$AN$50="Menor"),CONCATENATE("R2C",'Mapa final'!$U$50),"")</f>
        <v/>
      </c>
      <c r="W27" s="38" t="str">
        <f>IF(AND('Mapa final'!$AL$45="Alta",'Mapa final'!$AN$45="Moderado"),CONCATENATE("R2C",'Mapa final'!$U$45),"")</f>
        <v/>
      </c>
      <c r="X27" s="39" t="str">
        <f>IF(AND('Mapa final'!$AL$46="Alta",'Mapa final'!$AN$46="Moderado"),CONCATENATE("R2C",'Mapa final'!$U$46),"")</f>
        <v/>
      </c>
      <c r="Y27" s="39" t="str">
        <f>IF(AND('Mapa final'!$AL$47="Alta",'Mapa final'!$AN$47="Moderado"),CONCATENATE("R2C",'Mapa final'!$U$47),"")</f>
        <v/>
      </c>
      <c r="Z27" s="39" t="str">
        <f>IF(AND('Mapa final'!$AL$48="Alta",'Mapa final'!$AN$48="Moderado"),CONCATENATE("R2C",'Mapa final'!$U$48),"")</f>
        <v/>
      </c>
      <c r="AA27" s="39" t="str">
        <f>IF(AND('Mapa final'!$AL$49="Alta",'Mapa final'!$AN$49="Moderado"),CONCATENATE("R2C",'Mapa final'!$U$49),"")</f>
        <v/>
      </c>
      <c r="AB27" s="40" t="str">
        <f>IF(AND('Mapa final'!$AL$60="Alta",'Mapa final'!$AN$50="Moderado"),CONCATENATE("R2C",'Mapa final'!$U$50),"")</f>
        <v/>
      </c>
      <c r="AC27" s="38" t="str">
        <f>IF(AND('Mapa final'!$AL$45="Alta",'Mapa final'!$AN$45="Mayor"),CONCATENATE("R2C",'Mapa final'!$U$45),"")</f>
        <v/>
      </c>
      <c r="AD27" s="39" t="str">
        <f>IF(AND('Mapa final'!$AL$46="Alta",'Mapa final'!$AN$46="Mayor"),CONCATENATE("R2C",'Mapa final'!$U$46),"")</f>
        <v/>
      </c>
      <c r="AE27" s="39" t="str">
        <f>IF(AND('Mapa final'!$AL$47="Alta",'Mapa final'!$AN$47="Mayor"),CONCATENATE("R2C",'Mapa final'!$U$47),"")</f>
        <v/>
      </c>
      <c r="AF27" s="39" t="str">
        <f>IF(AND('Mapa final'!$AL$48="Alta",'Mapa final'!$AN$48="Mayor"),CONCATENATE("R2C",'Mapa final'!$U$48),"")</f>
        <v/>
      </c>
      <c r="AG27" s="39" t="str">
        <f>IF(AND('Mapa final'!$AL$49="Alta",'Mapa final'!$AN$49="Mayor"),CONCATENATE("R2C",'Mapa final'!$U$49),"")</f>
        <v/>
      </c>
      <c r="AH27" s="40" t="str">
        <f>IF(AND('Mapa final'!$AL$60="Alta",'Mapa final'!$AN$50="Mayor"),CONCATENATE("R2C",'Mapa final'!$U$50),"")</f>
        <v/>
      </c>
      <c r="AI27" s="41" t="str">
        <f>IF(AND('Mapa final'!$AL$45="Alta",'Mapa final'!$AN$45="Catastrófico"),CONCATENATE("R2C",'Mapa final'!$U$45),"")</f>
        <v/>
      </c>
      <c r="AJ27" s="42" t="str">
        <f>IF(AND('Mapa final'!$AL$46="Alta",'Mapa final'!$AN$46="Catastrófico"),CONCATENATE("R2C",'Mapa final'!$U$46),"")</f>
        <v/>
      </c>
      <c r="AK27" s="42" t="str">
        <f>IF(AND('Mapa final'!$AL$47="Alta",'Mapa final'!$AN$47="Catastrófico"),CONCATENATE("R2C",'Mapa final'!$U$47),"")</f>
        <v/>
      </c>
      <c r="AL27" s="42" t="str">
        <f>IF(AND('Mapa final'!$AL$48="Alta",'Mapa final'!$AN$48="Catastrófico"),CONCATENATE("R2C",'Mapa final'!$U$48),"")</f>
        <v/>
      </c>
      <c r="AM27" s="42" t="str">
        <f>IF(AND('Mapa final'!$AL$49="Alta",'Mapa final'!$AN$49="Catastrófico"),CONCATENATE("R2C",'Mapa final'!$U$49),"")</f>
        <v/>
      </c>
      <c r="AN27" s="43" t="str">
        <f>IF(AND('Mapa final'!$AL$60="Alta",'Mapa final'!$AN$50="Catastrófico"),CONCATENATE("R2C",'Mapa final'!$U$50),"")</f>
        <v/>
      </c>
      <c r="AO27" s="69"/>
      <c r="AP27" s="510"/>
      <c r="AQ27" s="511"/>
      <c r="AR27" s="511"/>
      <c r="AS27" s="511"/>
      <c r="AT27" s="511"/>
      <c r="AU27" s="512"/>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c r="B28" s="69"/>
      <c r="C28" s="409"/>
      <c r="D28" s="409"/>
      <c r="E28" s="410"/>
      <c r="F28" s="501"/>
      <c r="G28" s="502"/>
      <c r="H28" s="502"/>
      <c r="I28" s="502"/>
      <c r="J28" s="502"/>
      <c r="K28" s="53" t="str">
        <f>IF(AND('Mapa final'!$AL$51="Alta",'Mapa final'!$AN$51="Leve"),CONCATENATE("R2C",'Mapa final'!$U$51),"")</f>
        <v/>
      </c>
      <c r="L28" s="54" t="str">
        <f>IF(AND('Mapa final'!$AL$52="Alta",'Mapa final'!$AN$52="Leve"),CONCATENATE("R2C",'Mapa final'!$U$52),"")</f>
        <v/>
      </c>
      <c r="M28" s="54" t="str">
        <f>IF(AND('Mapa final'!$AL$53="Alta",'Mapa final'!$AN$53="Leve"),CONCATENATE("R2C",'Mapa final'!$U$53),"")</f>
        <v/>
      </c>
      <c r="N28" s="54" t="str">
        <f>IF(AND('Mapa final'!$AL$54="Alta",'Mapa final'!$AN$54="Leve"),CONCATENATE("R2C",'Mapa final'!$U$54),"")</f>
        <v/>
      </c>
      <c r="O28" s="54" t="str">
        <f>IF(AND('Mapa final'!$AL$55="Alta",'Mapa final'!$AN$55="Leve"),CONCATENATE("R2C",'Mapa final'!$U$55),"")</f>
        <v/>
      </c>
      <c r="P28" s="55" t="str">
        <f>IF(AND('Mapa final'!$AL$56="Alta",'Mapa final'!$AN$56="Leve"),CONCATENATE("R2C",'Mapa final'!$U$56),"")</f>
        <v/>
      </c>
      <c r="Q28" s="53" t="str">
        <f>IF(AND('Mapa final'!$AL$51="Alta",'Mapa final'!$AN$51="Menor"),CONCATENATE("R2C",'Mapa final'!$U$51),"")</f>
        <v/>
      </c>
      <c r="R28" s="54" t="str">
        <f>IF(AND('Mapa final'!$AL$52="Alta",'Mapa final'!$AN$52="Menor"),CONCATENATE("R2C",'Mapa final'!$U$52),"")</f>
        <v/>
      </c>
      <c r="S28" s="54" t="str">
        <f>IF(AND('Mapa final'!$AL$53="Alta",'Mapa final'!$AN$53="Menor"),CONCATENATE("R2C",'Mapa final'!$U$53),"")</f>
        <v/>
      </c>
      <c r="T28" s="54" t="str">
        <f>IF(AND('Mapa final'!$AL$54="Alta",'Mapa final'!$AN$54="Menor"),CONCATENATE("R2C",'Mapa final'!$U$54),"")</f>
        <v/>
      </c>
      <c r="U28" s="54" t="str">
        <f>IF(AND('Mapa final'!$AL$55="Alta",'Mapa final'!$AN$55="Menor"),CONCATENATE("R2C",'Mapa final'!$U$55),"")</f>
        <v/>
      </c>
      <c r="V28" s="55" t="str">
        <f>IF(AND('Mapa final'!$AL$56="Alta",'Mapa final'!$AN$56="Menor"),CONCATENATE("R2C",'Mapa final'!$U$56),"")</f>
        <v/>
      </c>
      <c r="W28" s="38" t="str">
        <f>IF(AND('Mapa final'!$AL$51="Alta",'Mapa final'!$AN$51="Moderado"),CONCATENATE("R2C",'Mapa final'!$U$51),"")</f>
        <v/>
      </c>
      <c r="X28" s="39" t="str">
        <f>IF(AND('Mapa final'!$AL$52="Alta",'Mapa final'!$AN$52="Moderado"),CONCATENATE("R2C",'Mapa final'!$U$52),"")</f>
        <v/>
      </c>
      <c r="Y28" s="39" t="str">
        <f>IF(AND('Mapa final'!$AL$53="Alta",'Mapa final'!$AN$53="Moderado"),CONCATENATE("R2C",'Mapa final'!$U$53),"")</f>
        <v/>
      </c>
      <c r="Z28" s="39" t="str">
        <f>IF(AND('Mapa final'!$AL$54="Alta",'Mapa final'!$AN$54="Moderado"),CONCATENATE("R2C",'Mapa final'!$U$54),"")</f>
        <v/>
      </c>
      <c r="AA28" s="39" t="str">
        <f>IF(AND('Mapa final'!$AL$55="Alta",'Mapa final'!$AN$55="Moderado"),CONCATENATE("R2C",'Mapa final'!$U$55),"")</f>
        <v/>
      </c>
      <c r="AB28" s="40" t="str">
        <f>IF(AND('Mapa final'!$AL$56="Alta",'Mapa final'!$AN$56="Moderado"),CONCATENATE("R2C",'Mapa final'!$U$56),"")</f>
        <v/>
      </c>
      <c r="AC28" s="38" t="str">
        <f>IF(AND('Mapa final'!$AL$51="Alta",'Mapa final'!$AN$51="Mayor"),CONCATENATE("R2C",'Mapa final'!$U$51),"")</f>
        <v/>
      </c>
      <c r="AD28" s="39" t="str">
        <f>IF(AND('Mapa final'!$AL$52="Alta",'Mapa final'!$AN$52="Mayor"),CONCATENATE("R2C",'Mapa final'!$U$52),"")</f>
        <v/>
      </c>
      <c r="AE28" s="39" t="str">
        <f>IF(AND('Mapa final'!$AL$53="Alta",'Mapa final'!$AN$53="Mayor"),CONCATENATE("R2C",'Mapa final'!$U$53),"")</f>
        <v/>
      </c>
      <c r="AF28" s="39" t="str">
        <f>IF(AND('Mapa final'!$AL$54="Alta",'Mapa final'!$AN$54="Mayor"),CONCATENATE("R2C",'Mapa final'!$U$54),"")</f>
        <v/>
      </c>
      <c r="AG28" s="39" t="str">
        <f>IF(AND('Mapa final'!$AL$55="Alta",'Mapa final'!$AN$55="Mayor"),CONCATENATE("R2C",'Mapa final'!$U$55),"")</f>
        <v/>
      </c>
      <c r="AH28" s="40" t="str">
        <f>IF(AND('Mapa final'!$AL$56="Alta",'Mapa final'!$AN$56="Mayor"),CONCATENATE("R2C",'Mapa final'!$U$56),"")</f>
        <v/>
      </c>
      <c r="AI28" s="41" t="str">
        <f>IF(AND('Mapa final'!$AL$51="Alta",'Mapa final'!$AN$51="Catastrófico"),CONCATENATE("R2C",'Mapa final'!$U$51),"")</f>
        <v/>
      </c>
      <c r="AJ28" s="42" t="str">
        <f>IF(AND('Mapa final'!$AL$52="Alta",'Mapa final'!$AN$52="Catastrófico"),CONCATENATE("R2C",'Mapa final'!$U$52),"")</f>
        <v/>
      </c>
      <c r="AK28" s="42" t="str">
        <f>IF(AND('Mapa final'!$AL$53="Alta",'Mapa final'!$AN$53="Catastrófico"),CONCATENATE("R2C",'Mapa final'!$U$53),"")</f>
        <v/>
      </c>
      <c r="AL28" s="42" t="str">
        <f>IF(AND('Mapa final'!$AL$54="Alta",'Mapa final'!$AN$54="Catastrófico"),CONCATENATE("R2C",'Mapa final'!$U$54),"")</f>
        <v/>
      </c>
      <c r="AM28" s="42" t="str">
        <f>IF(AND('Mapa final'!$AL$55="Alta",'Mapa final'!$AN$55="Catastrófico"),CONCATENATE("R2C",'Mapa final'!$U$55),"")</f>
        <v/>
      </c>
      <c r="AN28" s="43" t="str">
        <f>IF(AND('Mapa final'!$AL$56="Alta",'Mapa final'!$AN$56="Catastrófico"),CONCATENATE("R2C",'Mapa final'!$U$56),"")</f>
        <v/>
      </c>
      <c r="AO28" s="69"/>
      <c r="AP28" s="510"/>
      <c r="AQ28" s="511"/>
      <c r="AR28" s="511"/>
      <c r="AS28" s="511"/>
      <c r="AT28" s="511"/>
      <c r="AU28" s="512"/>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c r="B29" s="69"/>
      <c r="C29" s="409"/>
      <c r="D29" s="409"/>
      <c r="E29" s="410"/>
      <c r="F29" s="501"/>
      <c r="G29" s="502"/>
      <c r="H29" s="502"/>
      <c r="I29" s="502"/>
      <c r="J29" s="502"/>
      <c r="K29" s="53" t="str">
        <f>IF(AND('Mapa final'!$AL$57="Alta",'Mapa final'!$AN$57="Leve"),CONCATENATE("R2C",'Mapa final'!$U$57),"")</f>
        <v/>
      </c>
      <c r="L29" s="54" t="str">
        <f>IF(AND('Mapa final'!$AL$58="Alta",'Mapa final'!$AN$58="Leve"),CONCATENATE("R2C",'Mapa final'!$U$58),"")</f>
        <v/>
      </c>
      <c r="M29" s="54" t="str">
        <f>IF(AND('Mapa final'!$AL$59="Alta",'Mapa final'!$AN$59="Leve"),CONCATENATE("R2C",'Mapa final'!$U$59),"")</f>
        <v/>
      </c>
      <c r="N29" s="54" t="str">
        <f>IF(AND('Mapa final'!$AL$60="Alta",'Mapa final'!$AN$60="Leve"),CONCATENATE("R2C",'Mapa final'!$U$60),"")</f>
        <v/>
      </c>
      <c r="O29" s="54" t="str">
        <f>IF(AND('Mapa final'!$AL$61="Alta",'Mapa final'!$AN$61="Leve"),CONCATENATE("R2C",'Mapa final'!$U$61),"")</f>
        <v/>
      </c>
      <c r="P29" s="55" t="str">
        <f>IF(AND('Mapa final'!$AL$62="Alta",'Mapa final'!$AN$62="Leve"),CONCATENATE("R2C",'Mapa final'!$U$62),"")</f>
        <v/>
      </c>
      <c r="Q29" s="53" t="str">
        <f>IF(AND('Mapa final'!$AL$57="Alta",'Mapa final'!$AN$57="Menor"),CONCATENATE("R2C",'Mapa final'!$U$57),"")</f>
        <v/>
      </c>
      <c r="R29" s="54" t="str">
        <f>IF(AND('Mapa final'!$AL$58="Alta",'Mapa final'!$AN$58="Menor"),CONCATENATE("R2C",'Mapa final'!$U$58),"")</f>
        <v/>
      </c>
      <c r="S29" s="54" t="str">
        <f>IF(AND('Mapa final'!$AL$59="Alta",'Mapa final'!$AN$59="Menor"),CONCATENATE("R2C",'Mapa final'!$U$59),"")</f>
        <v/>
      </c>
      <c r="T29" s="54" t="str">
        <f>IF(AND('Mapa final'!$AL$60="Alta",'Mapa final'!$AN$60="Menor"),CONCATENATE("R2C",'Mapa final'!$U$60),"")</f>
        <v/>
      </c>
      <c r="U29" s="54" t="str">
        <f>IF(AND('Mapa final'!$AL$61="Alta",'Mapa final'!$AN$61="Menor"),CONCATENATE("R2C",'Mapa final'!$U$61),"")</f>
        <v/>
      </c>
      <c r="V29" s="55" t="str">
        <f>IF(AND('Mapa final'!$AL$62="Alta",'Mapa final'!$AN$62="Menor"),CONCATENATE("R2C",'Mapa final'!$U$62),"")</f>
        <v/>
      </c>
      <c r="W29" s="38" t="str">
        <f>IF(AND('Mapa final'!$AL$57="Alta",'Mapa final'!$AN$57="Moderado"),CONCATENATE("R2C",'Mapa final'!$U$57),"")</f>
        <v/>
      </c>
      <c r="X29" s="39" t="str">
        <f>IF(AND('Mapa final'!$AL$58="Alta",'Mapa final'!$AN$58="Moderado"),CONCATENATE("R2C",'Mapa final'!$U$58),"")</f>
        <v/>
      </c>
      <c r="Y29" s="39" t="str">
        <f>IF(AND('Mapa final'!$AL$59="Alta",'Mapa final'!$AN$59="Moderado"),CONCATENATE("R2C",'Mapa final'!$U$59),"")</f>
        <v/>
      </c>
      <c r="Z29" s="39" t="str">
        <f>IF(AND('Mapa final'!$AL$60="Alta",'Mapa final'!$AN$60="Moderado"),CONCATENATE("R2C",'Mapa final'!$U$60),"")</f>
        <v/>
      </c>
      <c r="AA29" s="39" t="str">
        <f>IF(AND('Mapa final'!$AL$61="Alta",'Mapa final'!$AN$61="Moderado"),CONCATENATE("R2C",'Mapa final'!$U$61),"")</f>
        <v/>
      </c>
      <c r="AB29" s="40" t="str">
        <f>IF(AND('Mapa final'!$AL$62="Alta",'Mapa final'!$AN$62="Moderado"),CONCATENATE("R2C",'Mapa final'!$U$62),"")</f>
        <v/>
      </c>
      <c r="AC29" s="38" t="str">
        <f>IF(AND('Mapa final'!$AL$57="Alta",'Mapa final'!$AN$57="Mayor"),CONCATENATE("R2C",'Mapa final'!$U$57),"")</f>
        <v/>
      </c>
      <c r="AD29" s="39" t="str">
        <f>IF(AND('Mapa final'!$AL$58="Alta",'Mapa final'!$AN$58="Mayor"),CONCATENATE("R2C",'Mapa final'!$U$58),"")</f>
        <v/>
      </c>
      <c r="AE29" s="39" t="str">
        <f>IF(AND('Mapa final'!$AL$59="Alta",'Mapa final'!$AN$59="Mayor"),CONCATENATE("R2C",'Mapa final'!$U$59),"")</f>
        <v/>
      </c>
      <c r="AF29" s="39" t="str">
        <f>IF(AND('Mapa final'!$AL$60="Alta",'Mapa final'!$AN$60="Mayor"),CONCATENATE("R2C",'Mapa final'!$U$60),"")</f>
        <v/>
      </c>
      <c r="AG29" s="39" t="str">
        <f>IF(AND('Mapa final'!$AL$61="Alta",'Mapa final'!$AN$61="Mayor"),CONCATENATE("R2C",'Mapa final'!$U$61),"")</f>
        <v/>
      </c>
      <c r="AH29" s="40" t="str">
        <f>IF(AND('Mapa final'!$AL$62="Alta",'Mapa final'!$AN$62="Mayor"),CONCATENATE("R2C",'Mapa final'!$U$62),"")</f>
        <v/>
      </c>
      <c r="AI29" s="41" t="str">
        <f>IF(AND('Mapa final'!$AL$57="Alta",'Mapa final'!$AN$57="Catastrófico"),CONCATENATE("R2C",'Mapa final'!$U$57),"")</f>
        <v/>
      </c>
      <c r="AJ29" s="42" t="str">
        <f>IF(AND('Mapa final'!$AL$58="Alta",'Mapa final'!$AN$58="Catastrófico"),CONCATENATE("R2C",'Mapa final'!$U$58),"")</f>
        <v/>
      </c>
      <c r="AK29" s="42" t="str">
        <f>IF(AND('Mapa final'!$AL$59="Alta",'Mapa final'!$AN$59="Catastrófico"),CONCATENATE("R2C",'Mapa final'!$U$59),"")</f>
        <v/>
      </c>
      <c r="AL29" s="42" t="str">
        <f>IF(AND('Mapa final'!$AL$60="Alta",'Mapa final'!$AN$60="Catastrófico"),CONCATENATE("R2C",'Mapa final'!$U$60),"")</f>
        <v/>
      </c>
      <c r="AM29" s="42" t="str">
        <f>IF(AND('Mapa final'!$AL$61="Alta",'Mapa final'!$AN$61="Catastrófico"),CONCATENATE("R2C",'Mapa final'!$U$61),"")</f>
        <v/>
      </c>
      <c r="AN29" s="43" t="str">
        <f>IF(AND('Mapa final'!$AL$62="Alta",'Mapa final'!$AN$62="Catastrófico"),CONCATENATE("R2C",'Mapa final'!$U$62),"")</f>
        <v/>
      </c>
      <c r="AO29" s="69"/>
      <c r="AP29" s="510"/>
      <c r="AQ29" s="511"/>
      <c r="AR29" s="511"/>
      <c r="AS29" s="511"/>
      <c r="AT29" s="511"/>
      <c r="AU29" s="512"/>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c r="B30" s="69"/>
      <c r="C30" s="409"/>
      <c r="D30" s="409"/>
      <c r="E30" s="410"/>
      <c r="F30" s="501"/>
      <c r="G30" s="502"/>
      <c r="H30" s="502"/>
      <c r="I30" s="502"/>
      <c r="J30" s="502"/>
      <c r="K30" s="53" t="str">
        <f>IF(AND('Mapa final'!$AL$63="Alta",'Mapa final'!$AN$63="Leve"),CONCATENATE("R2C",'Mapa final'!$U$63),"")</f>
        <v/>
      </c>
      <c r="L30" s="54" t="str">
        <f>IF(AND('Mapa final'!$AL$64="Alta",'Mapa final'!$AN$64="Leve"),CONCATENATE("R2C",'Mapa final'!$U$64),"")</f>
        <v/>
      </c>
      <c r="M30" s="54" t="str">
        <f>IF(AND('Mapa final'!$AL$65="Alta",'Mapa final'!$AN$65="Leve"),CONCATENATE("R2C",'Mapa final'!$U$65),"")</f>
        <v/>
      </c>
      <c r="N30" s="54" t="str">
        <f>IF(AND('Mapa final'!$AL$66="Alta",'Mapa final'!$AN$66="Leve"),CONCATENATE("R2C",'Mapa final'!$U$66),"")</f>
        <v/>
      </c>
      <c r="O30" s="54" t="str">
        <f>IF(AND('Mapa final'!$AL$67="Alta",'Mapa final'!$AN$67="Leve"),CONCATENATE("R2C",'Mapa final'!$U$67),"")</f>
        <v/>
      </c>
      <c r="P30" s="55" t="str">
        <f>IF(AND('Mapa final'!$AL$68="Alta",'Mapa final'!$AN$68="Leve"),CONCATENATE("R2C",'Mapa final'!$U$68),"")</f>
        <v/>
      </c>
      <c r="Q30" s="53" t="str">
        <f>IF(AND('Mapa final'!$AL$63="Alta",'Mapa final'!$AN$63="Menor"),CONCATENATE("R2C",'Mapa final'!$U$63),"")</f>
        <v/>
      </c>
      <c r="R30" s="54" t="str">
        <f>IF(AND('Mapa final'!$AL$64="Alta",'Mapa final'!$AN$64="Menor"),CONCATENATE("R2C",'Mapa final'!$U$64),"")</f>
        <v/>
      </c>
      <c r="S30" s="54" t="str">
        <f>IF(AND('Mapa final'!$AL$65="Alta",'Mapa final'!$AN$65="Menor"),CONCATENATE("R2C",'Mapa final'!$U$65),"")</f>
        <v/>
      </c>
      <c r="T30" s="54" t="str">
        <f>IF(AND('Mapa final'!$AL$66="Alta",'Mapa final'!$AN$66="Menor"),CONCATENATE("R2C",'Mapa final'!$U$66),"")</f>
        <v/>
      </c>
      <c r="U30" s="54" t="str">
        <f>IF(AND('Mapa final'!$AL$67="Alta",'Mapa final'!$AN$67="Menor"),CONCATENATE("R2C",'Mapa final'!$U$67),"")</f>
        <v/>
      </c>
      <c r="V30" s="55" t="str">
        <f>IF(AND('Mapa final'!$AL$68="Alta",'Mapa final'!$AN$68="Menor"),CONCATENATE("R2C",'Mapa final'!$U$68),"")</f>
        <v/>
      </c>
      <c r="W30" s="38" t="str">
        <f>IF(AND('Mapa final'!$AL$63="Alta",'Mapa final'!$AN$63="Moderado"),CONCATENATE("R2C",'Mapa final'!$U$63),"")</f>
        <v/>
      </c>
      <c r="X30" s="39" t="str">
        <f>IF(AND('Mapa final'!$AL$64="Alta",'Mapa final'!$AN$64="Moderado"),CONCATENATE("R2C",'Mapa final'!$U$64),"")</f>
        <v/>
      </c>
      <c r="Y30" s="39" t="str">
        <f>IF(AND('Mapa final'!$AL$65="Alta",'Mapa final'!$AN$65="Moderado"),CONCATENATE("R2C",'Mapa final'!$U$65),"")</f>
        <v/>
      </c>
      <c r="Z30" s="39" t="str">
        <f>IF(AND('Mapa final'!$AL$66="Alta",'Mapa final'!$AN$66="Moderado"),CONCATENATE("R2C",'Mapa final'!$U$66),"")</f>
        <v/>
      </c>
      <c r="AA30" s="39" t="str">
        <f>IF(AND('Mapa final'!$AL$67="Alta",'Mapa final'!$AN$67="Moderado"),CONCATENATE("R2C",'Mapa final'!$U$67),"")</f>
        <v/>
      </c>
      <c r="AB30" s="40" t="str">
        <f>IF(AND('Mapa final'!$AL$68="Alta",'Mapa final'!$AN$68="Moderado"),CONCATENATE("R2C",'Mapa final'!$U$68),"")</f>
        <v/>
      </c>
      <c r="AC30" s="38" t="str">
        <f>IF(AND('Mapa final'!$AL$63="Alta",'Mapa final'!$AN$63="Mayor"),CONCATENATE("R2C",'Mapa final'!$U$63),"")</f>
        <v/>
      </c>
      <c r="AD30" s="39" t="str">
        <f>IF(AND('Mapa final'!$AL$64="Alta",'Mapa final'!$AN$64="Mayor"),CONCATENATE("R2C",'Mapa final'!$U$64),"")</f>
        <v/>
      </c>
      <c r="AE30" s="39" t="str">
        <f>IF(AND('Mapa final'!$AL$65="Alta",'Mapa final'!$AN$65="Mayor"),CONCATENATE("R2C",'Mapa final'!$U$65),"")</f>
        <v/>
      </c>
      <c r="AF30" s="39" t="str">
        <f>IF(AND('Mapa final'!$AL$66="Alta",'Mapa final'!$AN$66="Mayor"),CONCATENATE("R2C",'Mapa final'!$U$66),"")</f>
        <v/>
      </c>
      <c r="AG30" s="39" t="str">
        <f>IF(AND('Mapa final'!$AL$67="Alta",'Mapa final'!$AN$67="Mayor"),CONCATENATE("R2C",'Mapa final'!$U$67),"")</f>
        <v/>
      </c>
      <c r="AH30" s="40" t="str">
        <f>IF(AND('Mapa final'!$AL$68="Alta",'Mapa final'!$AN$68="Mayor"),CONCATENATE("R2C",'Mapa final'!$U$68),"")</f>
        <v/>
      </c>
      <c r="AI30" s="41" t="str">
        <f>IF(AND('Mapa final'!$AL$63="Alta",'Mapa final'!$AN$63="Catastrófico"),CONCATENATE("R2C",'Mapa final'!$U$63),"")</f>
        <v/>
      </c>
      <c r="AJ30" s="42" t="str">
        <f>IF(AND('Mapa final'!$AL$64="Alta",'Mapa final'!$AN$64="Catastrófico"),CONCATENATE("R2C",'Mapa final'!$U$64),"")</f>
        <v/>
      </c>
      <c r="AK30" s="42" t="str">
        <f>IF(AND('Mapa final'!$AL$65="Alta",'Mapa final'!$AN$65="Catastrófico"),CONCATENATE("R2C",'Mapa final'!$U$65),"")</f>
        <v/>
      </c>
      <c r="AL30" s="42" t="str">
        <f>IF(AND('Mapa final'!$AL$66="Alta",'Mapa final'!$AN$66="Catastrófico"),CONCATENATE("R2C",'Mapa final'!$U$66),"")</f>
        <v/>
      </c>
      <c r="AM30" s="42" t="str">
        <f>IF(AND('Mapa final'!$AL$67="Alta",'Mapa final'!$AN$67="Catastrófico"),CONCATENATE("R2C",'Mapa final'!$U$67),"")</f>
        <v/>
      </c>
      <c r="AN30" s="43" t="str">
        <f>IF(AND('Mapa final'!$AL$68="Alta",'Mapa final'!$AN$68="Catastrófico"),CONCATENATE("R2C",'Mapa final'!$U$68),"")</f>
        <v/>
      </c>
      <c r="AO30" s="69"/>
      <c r="AP30" s="510"/>
      <c r="AQ30" s="511"/>
      <c r="AR30" s="511"/>
      <c r="AS30" s="511"/>
      <c r="AT30" s="511"/>
      <c r="AU30" s="512"/>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c r="B31" s="69"/>
      <c r="C31" s="409"/>
      <c r="D31" s="409"/>
      <c r="E31" s="410"/>
      <c r="F31" s="504"/>
      <c r="G31" s="505"/>
      <c r="H31" s="505"/>
      <c r="I31" s="505"/>
      <c r="J31" s="505"/>
      <c r="K31" s="56" t="str">
        <f>IF(AND('Mapa final'!$AL$69="Alta",'Mapa final'!$AN$69="Leve"),CONCATENATE("R2C",'Mapa final'!$U$69),"")</f>
        <v/>
      </c>
      <c r="L31" s="57" t="str">
        <f>IF(AND('Mapa final'!$AL$70="Alta",'Mapa final'!$AN$70="Leve"),CONCATENATE("R2C",'Mapa final'!$U$70),"")</f>
        <v/>
      </c>
      <c r="M31" s="57" t="str">
        <f>IF(AND('Mapa final'!$AL$71="Alta",'Mapa final'!$AN$71="Leve"),CONCATENATE("R2C",'Mapa final'!$U$71),"")</f>
        <v/>
      </c>
      <c r="N31" s="57" t="str">
        <f>IF(AND('Mapa final'!$AL$72="Alta",'Mapa final'!$AN$72="Leve"),CONCATENATE("R2C",'Mapa final'!$U$72),"")</f>
        <v/>
      </c>
      <c r="O31" s="57" t="str">
        <f>IF(AND('Mapa final'!$AL$74="Alta",'Mapa final'!$AN$74="Leve"),CONCATENATE("R2C",'Mapa final'!$U$74),"")</f>
        <v/>
      </c>
      <c r="P31" s="58" t="str">
        <f>IF(AND('Mapa final'!$AL$75="Alta",'Mapa final'!$AN$75="Leve"),CONCATENATE("R2C",'Mapa final'!$U$75),"")</f>
        <v/>
      </c>
      <c r="Q31" s="56" t="str">
        <f>IF(AND('Mapa final'!$AL$69="Alta",'Mapa final'!$AN$69="Menor"),CONCATENATE("R2C",'Mapa final'!$U$69),"")</f>
        <v/>
      </c>
      <c r="R31" s="57" t="str">
        <f>IF(AND('Mapa final'!$AL$70="Alta",'Mapa final'!$AN$70="Menor"),CONCATENATE("R2C",'Mapa final'!$U$70),"")</f>
        <v/>
      </c>
      <c r="S31" s="57" t="str">
        <f>IF(AND('Mapa final'!$AL$71="Alta",'Mapa final'!$AN$71="Menor"),CONCATENATE("R2C",'Mapa final'!$U$71),"")</f>
        <v/>
      </c>
      <c r="T31" s="57" t="str">
        <f>IF(AND('Mapa final'!$AL$72="Alta",'Mapa final'!$AN$72="Menor"),CONCATENATE("R2C",'Mapa final'!$U$72),"")</f>
        <v/>
      </c>
      <c r="U31" s="57" t="str">
        <f>IF(AND('Mapa final'!$AL$74="Alta",'Mapa final'!$AN$74="Menor"),CONCATENATE("R2C",'Mapa final'!$U$74),"")</f>
        <v/>
      </c>
      <c r="V31" s="58" t="str">
        <f>IF(AND('Mapa final'!$AL$75="Alta",'Mapa final'!$AN$75="Menor"),CONCATENATE("R2C",'Mapa final'!$U$75),"")</f>
        <v/>
      </c>
      <c r="W31" s="44" t="str">
        <f>IF(AND('Mapa final'!$AL$69="Alta",'Mapa final'!$AN$69="Moderado"),CONCATENATE("R2C",'Mapa final'!$U$69),"")</f>
        <v/>
      </c>
      <c r="X31" s="45" t="str">
        <f>IF(AND('Mapa final'!$AL$70="Alta",'Mapa final'!$AN$70="Moderado"),CONCATENATE("R2C",'Mapa final'!$U$70),"")</f>
        <v/>
      </c>
      <c r="Y31" s="45" t="str">
        <f>IF(AND('Mapa final'!$AL$71="Alta",'Mapa final'!$AN$71="Moderado"),CONCATENATE("R2C",'Mapa final'!$U$71),"")</f>
        <v/>
      </c>
      <c r="Z31" s="45" t="str">
        <f>IF(AND('Mapa final'!$AL$72="Alta",'Mapa final'!$AN$72="Moderado"),CONCATENATE("R2C",'Mapa final'!$U$72),"")</f>
        <v/>
      </c>
      <c r="AA31" s="45" t="str">
        <f>IF(AND('Mapa final'!$AL$74="Alta",'Mapa final'!$AN$74="Moderado"),CONCATENATE("R2C",'Mapa final'!$U$74),"")</f>
        <v/>
      </c>
      <c r="AB31" s="46" t="str">
        <f>IF(AND('Mapa final'!$AL$75="Alta",'Mapa final'!$AN$75="Moderado"),CONCATENATE("R2C",'Mapa final'!$U$75),"")</f>
        <v/>
      </c>
      <c r="AC31" s="44" t="str">
        <f>IF(AND('Mapa final'!$AL$69="Alta",'Mapa final'!$AN$69="Mayor"),CONCATENATE("R2C",'Mapa final'!$U$69),"")</f>
        <v/>
      </c>
      <c r="AD31" s="45" t="str">
        <f>IF(AND('Mapa final'!$AL$70="Alta",'Mapa final'!$AN$70="Mayor"),CONCATENATE("R2C",'Mapa final'!$U$70),"")</f>
        <v/>
      </c>
      <c r="AE31" s="45" t="str">
        <f>IF(AND('Mapa final'!$AL$71="Alta",'Mapa final'!$AN$71="Mayor"),CONCATENATE("R2C",'Mapa final'!$U$71),"")</f>
        <v/>
      </c>
      <c r="AF31" s="45" t="str">
        <f>IF(AND('Mapa final'!$AL$72="Alta",'Mapa final'!$AN$72="Mayor"),CONCATENATE("R2C",'Mapa final'!$U$72),"")</f>
        <v/>
      </c>
      <c r="AG31" s="45" t="str">
        <f>IF(AND('Mapa final'!$AL$74="Alta",'Mapa final'!$AN$74="Mayor"),CONCATENATE("R2C",'Mapa final'!$U$74),"")</f>
        <v/>
      </c>
      <c r="AH31" s="46" t="str">
        <f>IF(AND('Mapa final'!$AL$75="Alta",'Mapa final'!$AN$75="Mayor"),CONCATENATE("R2C",'Mapa final'!$U$75),"")</f>
        <v/>
      </c>
      <c r="AI31" s="47" t="str">
        <f>IF(AND('Mapa final'!$AL$69="Alta",'Mapa final'!$AN$69="Catastrófico"),CONCATENATE("R2C",'Mapa final'!$U$69),"")</f>
        <v/>
      </c>
      <c r="AJ31" s="48" t="str">
        <f>IF(AND('Mapa final'!$AL$70="Alta",'Mapa final'!$AN$70="Catastrófico"),CONCATENATE("R2C",'Mapa final'!$U$70),"")</f>
        <v/>
      </c>
      <c r="AK31" s="48" t="str">
        <f>IF(AND('Mapa final'!$AL$71="Alta",'Mapa final'!$AN$71="Catastrófico"),CONCATENATE("R2C",'Mapa final'!$U$71),"")</f>
        <v/>
      </c>
      <c r="AL31" s="48" t="str">
        <f>IF(AND('Mapa final'!$AL$72="Alta",'Mapa final'!$AN$72="Catastrófico"),CONCATENATE("R2C",'Mapa final'!$U$72),"")</f>
        <v/>
      </c>
      <c r="AM31" s="48" t="str">
        <f>IF(AND('Mapa final'!$AL$74="Alta",'Mapa final'!$AN$74="Catastrófico"),CONCATENATE("R2C",'Mapa final'!$U$74),"")</f>
        <v/>
      </c>
      <c r="AN31" s="49" t="str">
        <f>IF(AND('Mapa final'!$AL$75="Muy Alta",'Mapa final'!$AN$75="Catastrófico"),CONCATENATE("R2C",'Mapa final'!$U$75),"")</f>
        <v/>
      </c>
      <c r="AO31" s="69"/>
      <c r="AP31" s="513"/>
      <c r="AQ31" s="514"/>
      <c r="AR31" s="514"/>
      <c r="AS31" s="514"/>
      <c r="AT31" s="514"/>
      <c r="AU31" s="515"/>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c r="B32" s="69"/>
      <c r="C32" s="409"/>
      <c r="D32" s="409"/>
      <c r="E32" s="410"/>
      <c r="F32" s="498" t="s">
        <v>283</v>
      </c>
      <c r="G32" s="499"/>
      <c r="H32" s="499"/>
      <c r="I32" s="499"/>
      <c r="J32" s="500"/>
      <c r="K32" s="50" t="str">
        <f>IF(AND('Mapa final'!$AL$15="Media",'Mapa final'!$AN$15="Leve"),CONCATENATE("R2C",'Mapa final'!$U$15),"")</f>
        <v/>
      </c>
      <c r="L32" s="51" t="str">
        <f>IF(AND('Mapa final'!$AL$16="Media",'Mapa final'!$AN$16="Leve"),CONCATENATE("R2C",'Mapa final'!$U$16),"")</f>
        <v/>
      </c>
      <c r="M32" s="54" t="str">
        <f>IF(AND('Mapa final'!$AL$29="Media",'Mapa final'!$AN$29="Leve"),CONCATENATE("R2C",'Mapa final'!$U$29),"")</f>
        <v/>
      </c>
      <c r="N32" s="54" t="str">
        <f>IF(AND('Mapa final'!$AL$30="Media",'Mapa final'!$AN$30="Leve"),CONCATENATE("R2C",'Mapa final'!$U$30),"")</f>
        <v/>
      </c>
      <c r="O32" s="54" t="str">
        <f>IF(AND('Mapa final'!$AL$31="Media",'Mapa final'!$AN$31="Leve"),CONCATENATE("R2C",'Mapa final'!$U$31),"")</f>
        <v/>
      </c>
      <c r="P32" s="55" t="str">
        <f>IF(AND('Mapa final'!$AL$32="Media",'Mapa final'!$AN$32="Leve"),CONCATENATE("R2C",'Mapa final'!$U$32),"")</f>
        <v/>
      </c>
      <c r="Q32" s="50" t="str">
        <f>IF(AND('Mapa final'!$AL$15="Media",'Mapa final'!$AN$15="Menor"),CONCATENATE("R2C",'Mapa final'!$U$15),"")</f>
        <v/>
      </c>
      <c r="R32" s="54" t="str">
        <f>IF(AND('Mapa final'!$AL$28="Media",'Mapa final'!$AN$28="Menor"),CONCATENATE("R2C",'Mapa final'!$U$28),"")</f>
        <v/>
      </c>
      <c r="S32" s="54" t="str">
        <f>IF(AND('Mapa final'!$AL$29="Media",'Mapa final'!$AN$29="Menor"),CONCATENATE("R2C",'Mapa final'!$U$29),"")</f>
        <v/>
      </c>
      <c r="T32" s="54" t="str">
        <f>IF(AND('Mapa final'!$AL$30="Media",'Mapa final'!$AN$30="Menor"),CONCATENATE("R2C",'Mapa final'!$U$30),"")</f>
        <v/>
      </c>
      <c r="U32" s="54" t="str">
        <f>IF(AND('Mapa final'!$AL$31="Media",'Mapa final'!$AN$31="Menor"),CONCATENATE("R2C",'Mapa final'!$U$31),"")</f>
        <v/>
      </c>
      <c r="V32" s="55" t="str">
        <f>IF(AND('Mapa final'!$AL$32="Media",'Mapa final'!$AN$32="Menor"),CONCATENATE("R2C",'Mapa final'!$U$32),"")</f>
        <v/>
      </c>
      <c r="W32" s="50" t="str">
        <f>IF(AND('Mapa final'!$AL$15="Media",'Mapa final'!$AN$15="Moderado"),CONCATENATE("R2C",'Mapa final'!$U$15),"")</f>
        <v/>
      </c>
      <c r="X32" s="51" t="str">
        <f>IF(AND('Mapa final'!$AL$16="Media",'Mapa final'!$AN$16="Moderado"),CONCATENATE("R2C",'Mapa final'!$U$16),"")</f>
        <v/>
      </c>
      <c r="Y32" s="51"/>
      <c r="Z32" s="51" t="str">
        <f>IF(AND('Mapa final'!$AL$17="Media",'Mapa final'!$AN$17="Moderado"),CONCATENATE("R2C",'Mapa final'!$U$17),"")</f>
        <v/>
      </c>
      <c r="AA32" s="54" t="str">
        <f>IF(AND('Mapa final'!$AL$25="Media",'Mapa final'!$AN$25="Moderado"),CONCATENATE("R2C",'Mapa final'!$U$25),"")</f>
        <v/>
      </c>
      <c r="AB32" s="52" t="str">
        <f>IF(AND('Mapa final'!$AL$18="Media",'Mapa final'!$AN$18="Moderado"),CONCATENATE("R2C",'Mapa final'!$U$18),"")</f>
        <v/>
      </c>
      <c r="AC32" s="32" t="str">
        <f>IF(AND('Mapa final'!$AL$15="Media",'Mapa final'!$AN$15="Mayor"),CONCATENATE("R2C",'Mapa final'!$U$15),"")</f>
        <v/>
      </c>
      <c r="AD32" s="33" t="str">
        <f>IF(AND('Mapa final'!$AL$16="Media",'Mapa final'!$AN$16="Mayor"),CONCATENATE("R2C",'Mapa final'!$U$16),"")</f>
        <v/>
      </c>
      <c r="AE32" s="39" t="str">
        <f>IF(AND('Mapa final'!$AL$23="Media",'Mapa final'!$AN$23="Mayor"),CONCATENATE("R2C",'Mapa final'!$U$23),"")</f>
        <v/>
      </c>
      <c r="AF32" s="39" t="str">
        <f>IF(AND('Mapa final'!$AL$24="Media",'Mapa final'!$AN$24="Mayor"),CONCATENATE("R2C",'Mapa final'!$U$24),"")</f>
        <v/>
      </c>
      <c r="AG32" s="39" t="str">
        <f>IF(AND('Mapa final'!$AL$25="Media",'Mapa final'!$AN$25="Mayor"),CONCATENATE("R2C",'Mapa final'!$U$25),"")</f>
        <v/>
      </c>
      <c r="AH32" s="34" t="str">
        <f>IF(AND('Mapa final'!$AL$18="Media",'Mapa final'!$AN$18="Mayor"),CONCATENATE("R2C",'Mapa final'!$U$18),"")</f>
        <v/>
      </c>
      <c r="AI32" s="35" t="str">
        <f>IF(AND('Mapa final'!$AL$15="Media",'Mapa final'!$AN$15="Catastrófico"),CONCATENATE("R2C",'Mapa final'!$U$15),"")</f>
        <v/>
      </c>
      <c r="AJ32" s="42" t="str">
        <f>IF(AND('Mapa final'!$AL$28="Media",'Mapa final'!$AN$28="Catastrófico"),CONCATENATE("R2C",'Mapa final'!$U$28),"")</f>
        <v/>
      </c>
      <c r="AK32" s="42" t="str">
        <f>IF(AND('Mapa final'!$AL$29="Media",'Mapa final'!$AN$29="Catastrófico"),CONCATENATE("R2C",'Mapa final'!$U$29),"")</f>
        <v/>
      </c>
      <c r="AL32" s="42" t="str">
        <f>IF(AND('Mapa final'!$AL$30="Media",'Mapa final'!$AN$30="Catastrófico"),CONCATENATE("R2C",'Mapa final'!$U$30),"")</f>
        <v/>
      </c>
      <c r="AM32" s="42" t="str">
        <f>IF(AND('Mapa final'!$AL$31="Media",'Mapa final'!$AN$31="Catastrófico"),CONCATENATE("R2C",'Mapa final'!$U$31),"")</f>
        <v/>
      </c>
      <c r="AN32" s="37" t="str">
        <f>IF(AND('Mapa final'!$AL$18="Media",'Mapa final'!$AN$18="Catastrófico"),CONCATENATE("R2C",'Mapa final'!$U$18),"")</f>
        <v/>
      </c>
      <c r="AO32" s="69"/>
      <c r="AP32" s="538" t="s">
        <v>284</v>
      </c>
      <c r="AQ32" s="539"/>
      <c r="AR32" s="539"/>
      <c r="AS32" s="539"/>
      <c r="AT32" s="539"/>
      <c r="AU32" s="540"/>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c r="B33" s="69"/>
      <c r="C33" s="409"/>
      <c r="D33" s="409"/>
      <c r="E33" s="410"/>
      <c r="F33" s="516"/>
      <c r="G33" s="502"/>
      <c r="H33" s="502"/>
      <c r="I33" s="502"/>
      <c r="J33" s="503"/>
      <c r="K33" s="53" t="str">
        <f>IF(AND('Mapa final'!$AL$21="Media",'Mapa final'!$AN$21="Leve"),CONCATENATE("R2C",'Mapa final'!$U$21),"")</f>
        <v/>
      </c>
      <c r="L33" s="54" t="str">
        <f>IF(AND('Mapa final'!$AL$22="Media",'Mapa final'!$AN$22="Leve"),CONCATENATE("R2C",'Mapa final'!$U$22),"")</f>
        <v/>
      </c>
      <c r="M33" s="54" t="str">
        <f>IF(AND('Mapa final'!$AL$29="Media",'Mapa final'!$AN$29="Leve"),CONCATENATE("R2C",'Mapa final'!$U$29),"")</f>
        <v/>
      </c>
      <c r="N33" s="54" t="str">
        <f>IF(AND('Mapa final'!$AL$30="Media",'Mapa final'!$AN$30="Leve"),CONCATENATE("R2C",'Mapa final'!$U$30),"")</f>
        <v/>
      </c>
      <c r="O33" s="54" t="str">
        <f>IF(AND('Mapa final'!$AL$31="Media",'Mapa final'!$AN$31="Leve"),CONCATENATE("R2C",'Mapa final'!$U$31),"")</f>
        <v/>
      </c>
      <c r="P33" s="55" t="str">
        <f>IF(AND('Mapa final'!$AL$32="Media",'Mapa final'!$AN$32="Leve"),CONCATENATE("R2C",'Mapa final'!$U$32),"")</f>
        <v/>
      </c>
      <c r="Q33" s="53" t="str">
        <f>IF(AND('Mapa final'!$AL$21="Media",'Mapa final'!$AN$21="Menor"),CONCATENATE("R2C",'Mapa final'!$U$21),"")</f>
        <v/>
      </c>
      <c r="R33" s="54" t="str">
        <f>IF(AND('Mapa final'!$AL$28="Media",'Mapa final'!$AN$28="Menor"),CONCATENATE("R2C",'Mapa final'!$U$28),"")</f>
        <v/>
      </c>
      <c r="S33" s="54" t="str">
        <f>IF(AND('Mapa final'!$AL$29="Media",'Mapa final'!$AN$29="Menor"),CONCATENATE("R2C",'Mapa final'!$U$29),"")</f>
        <v/>
      </c>
      <c r="T33" s="54" t="str">
        <f>IF(AND('Mapa final'!$AL$30="Media",'Mapa final'!$AN$30="Menor"),CONCATENATE("R2C",'Mapa final'!$U$30),"")</f>
        <v/>
      </c>
      <c r="U33" s="54" t="str">
        <f>IF(AND('Mapa final'!$AL$31="Media",'Mapa final'!$AN$31="Menor"),CONCATENATE("R2C",'Mapa final'!$U$31),"")</f>
        <v/>
      </c>
      <c r="V33" s="55" t="str">
        <f>IF(AND('Mapa final'!$AL$32="Media",'Mapa final'!$AN$32="Menor"),CONCATENATE("R2C",'Mapa final'!$U$32),"")</f>
        <v/>
      </c>
      <c r="W33" s="53" t="str">
        <f>IF(AND('Mapa final'!$AL$21="Media",'Mapa final'!$AN$21="Moderado"),CONCATENATE("R2C",'Mapa final'!$U$21),"")</f>
        <v/>
      </c>
      <c r="X33" s="54" t="str">
        <f>IF(AND('Mapa final'!$AL$22="Media",'Mapa final'!$AN$22="Moderado"),CONCATENATE("R2C",'Mapa final'!$U$22),"")</f>
        <v/>
      </c>
      <c r="Y33" s="54" t="str">
        <f>IF(AND('Mapa final'!$AL$23="Media",'Mapa final'!$AN$23="Moderado"),CONCATENATE("R2C",'Mapa final'!$U$23),"")</f>
        <v/>
      </c>
      <c r="Z33" s="54" t="str">
        <f>IF(AND('Mapa final'!$AL$24="Media",'Mapa final'!$AN$24="Moderado"),CONCATENATE("R2C",'Mapa final'!$U$24),"")</f>
        <v/>
      </c>
      <c r="AA33" s="54" t="str">
        <f>IF(AND('Mapa final'!$AL$25="Media",'Mapa final'!$AN$25="Moderado"),CONCATENATE("R2C",'Mapa final'!$U$25),"")</f>
        <v/>
      </c>
      <c r="AB33" s="55" t="str">
        <f>IF(AND('Mapa final'!$AL$26="Media",'Mapa final'!$AN$26="Moderado"),CONCATENATE("R2C",'Mapa final'!$U$26),"")</f>
        <v/>
      </c>
      <c r="AC33" s="38" t="str">
        <f>IF(AND('Mapa final'!$AL$21="Media",'Mapa final'!$AN$21="Mayor"),CONCATENATE("R2C",'Mapa final'!$U$21),"")</f>
        <v/>
      </c>
      <c r="AD33" s="39" t="str">
        <f>IF(AND('Mapa final'!$AL$22="Muy Alta",'Mapa final'!$AN$22="Mayor"),CONCATENATE("R2C",'Mapa final'!$U$22),"")</f>
        <v/>
      </c>
      <c r="AE33" s="39" t="str">
        <f>IF(AND('Mapa final'!$AL$23="Media",'Mapa final'!$AN$23="Mayor"),CONCATENATE("R2C",'Mapa final'!$U$23),"")</f>
        <v/>
      </c>
      <c r="AF33" s="39" t="str">
        <f>IF(AND('Mapa final'!$AL$24="Media",'Mapa final'!$AN$24="Mayor"),CONCATENATE("R2C",'Mapa final'!$U$24),"")</f>
        <v/>
      </c>
      <c r="AG33" s="39" t="str">
        <f>IF(AND('Mapa final'!$AL$25="Media",'Mapa final'!$AN$25="Mayor"),CONCATENATE("R2C",'Mapa final'!$U$25),"")</f>
        <v/>
      </c>
      <c r="AH33" s="40" t="str">
        <f>IF(AND('Mapa final'!$AL$26="Media",'Mapa final'!$AN$26="Mayor"),CONCATENATE("R2C",'Mapa final'!$U$26),"")</f>
        <v/>
      </c>
      <c r="AI33" s="41" t="str">
        <f>IF(AND('Mapa final'!$AL$21="Media",'Mapa final'!$AN$21="Catastrófico"),CONCATENATE("R2C",'Mapa final'!$U$21),"")</f>
        <v/>
      </c>
      <c r="AJ33" s="42" t="str">
        <f>IF(AND('Mapa final'!$AL$22="Media",'Mapa final'!$AN$22="Catastrófico"),CONCATENATE("R2C",'Mapa final'!$U$22),"")</f>
        <v/>
      </c>
      <c r="AK33" s="42" t="str">
        <f>IF(AND('Mapa final'!$AL$23="Media",'Mapa final'!$AN$23="Catastrófico"),CONCATENATE("R2C",'Mapa final'!$U$23),"")</f>
        <v/>
      </c>
      <c r="AL33" s="42" t="str">
        <f>IF(AND('Mapa final'!$AL$24="Media",'Mapa final'!$AN$24="Catastrófico"),CONCATENATE("R2C",'Mapa final'!$U$24),"")</f>
        <v/>
      </c>
      <c r="AM33" s="42" t="str">
        <f>IF(AND('Mapa final'!$AL$25="Media",'Mapa final'!$AN$25="Catastrófico"),CONCATENATE("R2C",'Mapa final'!$U$25),"")</f>
        <v/>
      </c>
      <c r="AN33" s="43" t="str">
        <f>IF(AND('Mapa final'!$AL$26="Media",'Mapa final'!$AN$26="Catastrófico"),CONCATENATE("R2C",'Mapa final'!$U$26),"")</f>
        <v/>
      </c>
      <c r="AO33" s="69"/>
      <c r="AP33" s="541"/>
      <c r="AQ33" s="542"/>
      <c r="AR33" s="542"/>
      <c r="AS33" s="542"/>
      <c r="AT33" s="542"/>
      <c r="AU33" s="543"/>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c r="B34" s="69"/>
      <c r="C34" s="409"/>
      <c r="D34" s="409"/>
      <c r="E34" s="410"/>
      <c r="F34" s="501"/>
      <c r="G34" s="502"/>
      <c r="H34" s="502"/>
      <c r="I34" s="502"/>
      <c r="J34" s="503"/>
      <c r="K34" s="53" t="str">
        <f>IF(AND('Mapa final'!$AL$27="Media",'Mapa final'!$AN$27="Leve"),CONCATENATE("R2C",'Mapa final'!$U$27),"")</f>
        <v/>
      </c>
      <c r="L34" s="54" t="str">
        <f>IF(AND('Mapa final'!$AL$28="Media",'Mapa final'!$AN$28="Leve"),CONCATENATE("R2C",'Mapa final'!$U$28),"")</f>
        <v/>
      </c>
      <c r="M34" s="54" t="str">
        <f>IF(AND('Mapa final'!$AL$29="Media",'Mapa final'!$AN$29="Leve"),CONCATENATE("R2C",'Mapa final'!$U$29),"")</f>
        <v/>
      </c>
      <c r="N34" s="54" t="str">
        <f>IF(AND('Mapa final'!$AL$30="Media",'Mapa final'!$AN$30="Leve"),CONCATENATE("R2C",'Mapa final'!$U$30),"")</f>
        <v/>
      </c>
      <c r="O34" s="54" t="str">
        <f>IF(AND('Mapa final'!$AL$31="Media",'Mapa final'!$AN$31="Leve"),CONCATENATE("R2C",'Mapa final'!$U$31),"")</f>
        <v/>
      </c>
      <c r="P34" s="55" t="str">
        <f>IF(AND('Mapa final'!$AL$32="Media",'Mapa final'!$AN$32="Leve"),CONCATENATE("R2C",'Mapa final'!$U$32),"")</f>
        <v/>
      </c>
      <c r="Q34" s="53" t="str">
        <f>IF(AND('Mapa final'!$AL$27="Media",'Mapa final'!$AN$27="Menor"),CONCATENATE("R2C",'Mapa final'!$U$27),"")</f>
        <v/>
      </c>
      <c r="R34" s="54" t="str">
        <f>IF(AND('Mapa final'!$AL$28="Media",'Mapa final'!$AN$28="Menor"),CONCATENATE("R2C",'Mapa final'!$U$28),"")</f>
        <v/>
      </c>
      <c r="S34" s="54" t="str">
        <f>IF(AND('Mapa final'!$AL$29="Media",'Mapa final'!$AN$29="Menor"),CONCATENATE("R2C",'Mapa final'!$U$29),"")</f>
        <v/>
      </c>
      <c r="T34" s="54" t="str">
        <f>IF(AND('Mapa final'!$AL$30="Media",'Mapa final'!$AN$30="Menor"),CONCATENATE("R2C",'Mapa final'!$U$30),"")</f>
        <v/>
      </c>
      <c r="U34" s="54" t="str">
        <f>IF(AND('Mapa final'!$AL$31="Media",'Mapa final'!$AN$31="Menor"),CONCATENATE("R2C",'Mapa final'!$U$31),"")</f>
        <v/>
      </c>
      <c r="V34" s="55" t="str">
        <f>IF(AND('Mapa final'!$AL$32="Media",'Mapa final'!$AN$32="Menor"),CONCATENATE("R2C",'Mapa final'!$U$32),"")</f>
        <v/>
      </c>
      <c r="W34" s="53" t="str">
        <f>IF(AND('Mapa final'!$AL$27="Media",'Mapa final'!$AN$27="Moderado"),CONCATENATE("R2C",'Mapa final'!$U$27),"")</f>
        <v/>
      </c>
      <c r="X34" s="54" t="str">
        <f>IF(AND('Mapa final'!$AL$28="Media",'Mapa final'!$AN$28="Moderado"),CONCATENATE("R2C",'Mapa final'!$U$28),"")</f>
        <v/>
      </c>
      <c r="Y34" s="54" t="str">
        <f>IF(AND('Mapa final'!$AL$29="Media",'Mapa final'!$AN$29="Moderado"),CONCATENATE("R2C",'Mapa final'!$U$29),"")</f>
        <v/>
      </c>
      <c r="Z34" s="54" t="str">
        <f>IF(AND('Mapa final'!$AL$30="Media",'Mapa final'!$AN$30="Moderado"),CONCATENATE("R2C",'Mapa final'!$U$30),"")</f>
        <v/>
      </c>
      <c r="AA34" s="54" t="str">
        <f>IF(AND('Mapa final'!$AL$31="Media",'Mapa final'!$AN$31="Moderado"),CONCATENATE("R2C",'Mapa final'!$U$31),"")</f>
        <v/>
      </c>
      <c r="AB34" s="55" t="str">
        <f>IF(AND('Mapa final'!$AL$32="Media",'Mapa final'!$AN$32="Moderado"),CONCATENATE("R2C",'Mapa final'!$U$32),"")</f>
        <v/>
      </c>
      <c r="AC34" s="38" t="str">
        <f>IF(AND('Mapa final'!$AL$27="Media",'Mapa final'!$AN$27="Mayor"),CONCATENATE("R2C",'Mapa final'!$U$27),"")</f>
        <v/>
      </c>
      <c r="AD34" s="39" t="str">
        <f>IF(AND('Mapa final'!$AL$28="Media",'Mapa final'!$AN$28="Mayor"),CONCATENATE("R2C",'Mapa final'!$U$28),"")</f>
        <v/>
      </c>
      <c r="AE34" s="39" t="str">
        <f>IF(AND('Mapa final'!$AL$29="Media",'Mapa final'!$AN$29="Mayor"),CONCATENATE("R2C",'Mapa final'!$U$29),"")</f>
        <v/>
      </c>
      <c r="AF34" s="39" t="str">
        <f>IF(AND('Mapa final'!$AL$30="Media",'Mapa final'!$AN$30="Mayor"),CONCATENATE("R2C",'Mapa final'!$U$30),"")</f>
        <v/>
      </c>
      <c r="AG34" s="39" t="str">
        <f>IF(AND('Mapa final'!$AL$31="Media",'Mapa final'!$AN$31="Mayor"),CONCATENATE("R2C",'Mapa final'!$U$31),"")</f>
        <v/>
      </c>
      <c r="AH34" s="40" t="str">
        <f>IF(AND('Mapa final'!$AL$32="Media",'Mapa final'!$AN$32="Mayor"),CONCATENATE("R2C",'Mapa final'!$U$32),"")</f>
        <v/>
      </c>
      <c r="AI34" s="41" t="str">
        <f>IF(AND('Mapa final'!$AL$27="Media",'Mapa final'!$AN$27="Catastrófico"),CONCATENATE("R2C",'Mapa final'!$U$27),"")</f>
        <v/>
      </c>
      <c r="AJ34" s="42" t="str">
        <f>IF(AND('Mapa final'!$AL$28="Media",'Mapa final'!$AN$28="Catastrófico"),CONCATENATE("R2C",'Mapa final'!$U$28),"")</f>
        <v/>
      </c>
      <c r="AK34" s="42" t="str">
        <f>IF(AND('Mapa final'!$AL$29="Media",'Mapa final'!$AN$29="Catastrófico"),CONCATENATE("R2C",'Mapa final'!$U$29),"")</f>
        <v/>
      </c>
      <c r="AL34" s="42" t="str">
        <f>IF(AND('Mapa final'!$AL$30="Media",'Mapa final'!$AN$30="Catastrófico"),CONCATENATE("R2C",'Mapa final'!$U$30),"")</f>
        <v/>
      </c>
      <c r="AM34" s="42" t="str">
        <f>IF(AND('Mapa final'!$AL$31="Media",'Mapa final'!$AN$31="Catastrófico"),CONCATENATE("R2C",'Mapa final'!$U$31),"")</f>
        <v/>
      </c>
      <c r="AN34" s="43" t="str">
        <f>IF(AND('Mapa final'!$AL$32="Media",'Mapa final'!$AN$32="Catastrófico"),CONCATENATE("R2C",'Mapa final'!$U$32),"")</f>
        <v/>
      </c>
      <c r="AO34" s="69"/>
      <c r="AP34" s="541"/>
      <c r="AQ34" s="542"/>
      <c r="AR34" s="542"/>
      <c r="AS34" s="542"/>
      <c r="AT34" s="542"/>
      <c r="AU34" s="543"/>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c r="B35" s="69"/>
      <c r="C35" s="409"/>
      <c r="D35" s="409"/>
      <c r="E35" s="410"/>
      <c r="F35" s="501"/>
      <c r="G35" s="502"/>
      <c r="H35" s="502"/>
      <c r="I35" s="502"/>
      <c r="J35" s="503"/>
      <c r="K35" s="53" t="str">
        <f>IF(AND('Mapa final'!$AL$33="Media",'Mapa final'!$AN$33="Leve"),CONCATENATE("R2C",'Mapa final'!$U$33),"")</f>
        <v/>
      </c>
      <c r="L35" s="54" t="str">
        <f>IF(AND('Mapa final'!$AL$34="Media",'Mapa final'!$AN$34="Leve"),CONCATENATE("R2C",'Mapa final'!$U$34),"")</f>
        <v/>
      </c>
      <c r="M35" s="54" t="str">
        <f>IF(AND('Mapa final'!$AL$35="Media",'Mapa final'!$AN$35="Leve"),CONCATENATE("R2C",'Mapa final'!$U$35),"")</f>
        <v/>
      </c>
      <c r="N35" s="54" t="str">
        <f>IF(AND('Mapa final'!$AL$36="Media",'Mapa final'!$AN$36="Leve"),CONCATENATE("R2C",'Mapa final'!$U$36),"")</f>
        <v/>
      </c>
      <c r="O35" s="54" t="str">
        <f>IF(AND('Mapa final'!$AL$37="Media",'Mapa final'!$AN$37="Leve"),CONCATENATE("R2C",'Mapa final'!$U$37),"")</f>
        <v/>
      </c>
      <c r="P35" s="55" t="str">
        <f>IF(AND('Mapa final'!$AL$38="Media",'Mapa final'!$AN$38="Leve"),CONCATENATE("R2C",'Mapa final'!$U$38),"")</f>
        <v/>
      </c>
      <c r="Q35" s="53" t="str">
        <f>IF(AND('Mapa final'!$AL$33="Media",'Mapa final'!$AN$33="Menor"),CONCATENATE("R2C",'Mapa final'!$U$33),"")</f>
        <v/>
      </c>
      <c r="R35" s="54" t="str">
        <f>IF(AND('Mapa final'!$AL$34="Media",'Mapa final'!$AN$34="Menor"),CONCATENATE("R2C",'Mapa final'!$U$34),"")</f>
        <v/>
      </c>
      <c r="S35" s="54" t="str">
        <f>IF(AND('Mapa final'!$AL$35="Media",'Mapa final'!$AN$35="Menor"),CONCATENATE("R2C",'Mapa final'!$U$35),"")</f>
        <v/>
      </c>
      <c r="T35" s="54" t="str">
        <f>IF(AND('Mapa final'!$AL$36="Media",'Mapa final'!$AN$36="Menor"),CONCATENATE("R2C",'Mapa final'!$U$36),"")</f>
        <v/>
      </c>
      <c r="U35" s="54" t="str">
        <f>IF(AND('Mapa final'!$AL$37="Media",'Mapa final'!$AN$37="LMenor"),CONCATENATE("R2C",'Mapa final'!$U$37),"")</f>
        <v/>
      </c>
      <c r="V35" s="55" t="str">
        <f>IF(AND('Mapa final'!$AL$38="Media",'Mapa final'!$AN$38="Menor"),CONCATENATE("R2C",'Mapa final'!$U$38),"")</f>
        <v/>
      </c>
      <c r="W35" s="53" t="str">
        <f>IF(AND('Mapa final'!$AL$33="Media",'Mapa final'!$AN$33="Moderado"),CONCATENATE("R2C",'Mapa final'!$U$33),"")</f>
        <v/>
      </c>
      <c r="X35" s="54" t="str">
        <f>IF(AND('Mapa final'!$AL$34="Media",'Mapa final'!$AN$34="Moderado"),CONCATENATE("R2C",'Mapa final'!$U$34),"")</f>
        <v/>
      </c>
      <c r="Y35" s="54" t="str">
        <f>IF(AND('Mapa final'!$AL$35="Media",'Mapa final'!$AN$35="Moderado"),CONCATENATE("R2C",'Mapa final'!$U$35),"")</f>
        <v/>
      </c>
      <c r="Z35" s="54" t="str">
        <f>IF(AND('Mapa final'!$AL$36="Media",'Mapa final'!$AN$36="Moderado"),CONCATENATE("R2C",'Mapa final'!$U$36),"")</f>
        <v/>
      </c>
      <c r="AA35" s="54" t="str">
        <f>IF(AND('Mapa final'!$AL$37="Media",'Mapa final'!$AN$37="Moderado"),CONCATENATE("R2C",'Mapa final'!$U$37),"")</f>
        <v/>
      </c>
      <c r="AB35" s="55" t="str">
        <f>IF(AND('Mapa final'!$AL$38="Media",'Mapa final'!$AN$38="Moderado"),CONCATENATE("R2C",'Mapa final'!$U$38),"")</f>
        <v/>
      </c>
      <c r="AC35" s="38" t="str">
        <f>IF(AND('Mapa final'!$AL$33="Media",'Mapa final'!$AN$33="Mayor"),CONCATENATE("R2C",'Mapa final'!$U$33),"")</f>
        <v/>
      </c>
      <c r="AD35" s="39" t="str">
        <f>IF(AND('Mapa final'!$AL$34="Media",'Mapa final'!$AN$34="Mayor"),CONCATENATE("R2C",'Mapa final'!$U$34),"")</f>
        <v/>
      </c>
      <c r="AE35" s="39" t="str">
        <f>IF(AND('Mapa final'!$AL$35="Media",'Mapa final'!$AN$35="Mayor"),CONCATENATE("R2C",'Mapa final'!$U$35),"")</f>
        <v/>
      </c>
      <c r="AF35" s="39" t="str">
        <f>IF(AND('Mapa final'!$AL$36="Media",'Mapa final'!$AN$36="Mayor"),CONCATENATE("R2C",'Mapa final'!$U$36),"")</f>
        <v/>
      </c>
      <c r="AG35" s="39" t="str">
        <f>IF(AND('Mapa final'!$AL$37="Media",'Mapa final'!$AN$37="Mayor"),CONCATENATE("R2C",'Mapa final'!$U$37),"")</f>
        <v/>
      </c>
      <c r="AH35" s="40" t="str">
        <f>IF(AND('Mapa final'!$AL$38="Media",'Mapa final'!$AN$38="Mayor"),CONCATENATE("R2C",'Mapa final'!$U$38),"")</f>
        <v/>
      </c>
      <c r="AI35" s="41" t="str">
        <f>IF(AND('Mapa final'!$AL$33="Media",'Mapa final'!$AN$33="Catastrófico"),CONCATENATE("R2C",'Mapa final'!$U$33),"")</f>
        <v/>
      </c>
      <c r="AJ35" s="42" t="str">
        <f>IF(AND('Mapa final'!$AL$34="Media",'Mapa final'!$AN$34="Catastrófico"),CONCATENATE("R2C",'Mapa final'!$U$34),"")</f>
        <v/>
      </c>
      <c r="AK35" s="42" t="str">
        <f>IF(AND('Mapa final'!$AL$35="Media",'Mapa final'!$AN$35="Catastrófico"),CONCATENATE("R2C",'Mapa final'!$U$35),"")</f>
        <v/>
      </c>
      <c r="AL35" s="42" t="str">
        <f>IF(AND('Mapa final'!$AL$36="Media",'Mapa final'!$AN$36="Catastrófico"),CONCATENATE("R2C",'Mapa final'!$U$36),"")</f>
        <v/>
      </c>
      <c r="AM35" s="42" t="str">
        <f>IF(AND('Mapa final'!$AL$37="Media",'Mapa final'!$AN$37="LCatastrófico"),CONCATENATE("R2C",'Mapa final'!$U$37),"")</f>
        <v/>
      </c>
      <c r="AN35" s="43" t="str">
        <f>IF(AND('Mapa final'!$AL$38="Media",'Mapa final'!$AN$38="Catastrófico"),CONCATENATE("R2C",'Mapa final'!$U$38),"")</f>
        <v/>
      </c>
      <c r="AO35" s="69"/>
      <c r="AP35" s="541"/>
      <c r="AQ35" s="542"/>
      <c r="AR35" s="542"/>
      <c r="AS35" s="542"/>
      <c r="AT35" s="542"/>
      <c r="AU35" s="543"/>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c r="B36" s="69"/>
      <c r="C36" s="409"/>
      <c r="D36" s="409"/>
      <c r="E36" s="410"/>
      <c r="F36" s="501"/>
      <c r="G36" s="502"/>
      <c r="H36" s="502"/>
      <c r="I36" s="502"/>
      <c r="J36" s="503"/>
      <c r="K36" s="53" t="str">
        <f>IF(AND('Mapa final'!$AL$39="Media",'Mapa final'!$AN$39="Leve"),CONCATENATE("R2C",'Mapa final'!$U$39),"")</f>
        <v/>
      </c>
      <c r="L36" s="54" t="str">
        <f>IF(AND('Mapa final'!$AL$40="Media",'Mapa final'!$AN$40="Leve"),CONCATENATE("R2C",'Mapa final'!$U$40),"")</f>
        <v/>
      </c>
      <c r="M36" s="54" t="str">
        <f>IF(AND('Mapa final'!$AL$41="Media",'Mapa final'!$AN$41="Leve"),CONCATENATE("R2C",'Mapa final'!$U$41),"")</f>
        <v/>
      </c>
      <c r="N36" s="54" t="str">
        <f>IF(AND('Mapa final'!$AL$42="Media",'Mapa final'!$AN$42="Leve"),CONCATENATE("R2C",'Mapa final'!$U$42),"")</f>
        <v/>
      </c>
      <c r="O36" s="54" t="str">
        <f>IF(AND('Mapa final'!$AL$43="Media",'Mapa final'!$AN$43="Leve"),CONCATENATE("R2C",'Mapa final'!$U$43),"")</f>
        <v/>
      </c>
      <c r="P36" s="55" t="str">
        <f>IF(AND('Mapa final'!$AL$44="Media",'Mapa final'!$AN$44="Leve"),CONCATENATE("R2C",'Mapa final'!$U$44),"")</f>
        <v/>
      </c>
      <c r="Q36" s="53" t="str">
        <f>IF(AND('Mapa final'!$AL$39="Media",'Mapa final'!$AN$39="Menor"),CONCATENATE("R2C",'Mapa final'!$U$39),"")</f>
        <v/>
      </c>
      <c r="R36" s="54" t="str">
        <f>IF(AND('Mapa final'!$AL$40="Media",'Mapa final'!$AN$40="Menor"),CONCATENATE("R2C",'Mapa final'!$U$40),"")</f>
        <v/>
      </c>
      <c r="S36" s="54" t="str">
        <f>IF(AND('Mapa final'!$AL$41="Media",'Mapa final'!$AN$41="Menor"),CONCATENATE("R2C",'Mapa final'!$U$41),"")</f>
        <v/>
      </c>
      <c r="T36" s="54" t="str">
        <f>IF(AND('Mapa final'!$AL$42="Media",'Mapa final'!$AN$42="Menor"),CONCATENATE("R2C",'Mapa final'!$U$42),"")</f>
        <v/>
      </c>
      <c r="U36" s="54" t="str">
        <f>IF(AND('Mapa final'!$AL$43="Media",'Mapa final'!$AN$43="Menor"),CONCATENATE("R2C",'Mapa final'!$U$43),"")</f>
        <v/>
      </c>
      <c r="V36" s="55" t="str">
        <f>IF(AND('Mapa final'!$AL$44="Media",'Mapa final'!$AN$44="Menor"),CONCATENATE("R2C",'Mapa final'!$U$44),"")</f>
        <v/>
      </c>
      <c r="W36" s="53" t="str">
        <f>IF(AND('Mapa final'!$AL$39="Media",'Mapa final'!$AN$39="Moderado"),CONCATENATE("R2C",'Mapa final'!$U$39),"")</f>
        <v/>
      </c>
      <c r="X36" s="54" t="str">
        <f>IF(AND('Mapa final'!$AL$40="Media",'Mapa final'!$AN$40="Moderado"),CONCATENATE("R2C",'Mapa final'!$U$40),"")</f>
        <v/>
      </c>
      <c r="Y36" s="54" t="str">
        <f>IF(AND('Mapa final'!$AL$41="Media",'Mapa final'!$AN$41="Moderado"),CONCATENATE("R2C",'Mapa final'!$U$41),"")</f>
        <v/>
      </c>
      <c r="Z36" s="54" t="str">
        <f>IF(AND('Mapa final'!$AL$42="Media",'Mapa final'!$AN$42="Moderado"),CONCATENATE("R2C",'Mapa final'!$U$42),"")</f>
        <v/>
      </c>
      <c r="AA36" s="54" t="str">
        <f>IF(AND('Mapa final'!$AL$43="Media",'Mapa final'!$AN$43="Moderado"),CONCATENATE("R2C",'Mapa final'!$U$43),"")</f>
        <v/>
      </c>
      <c r="AB36" s="55" t="str">
        <f>IF(AND('Mapa final'!$AL$44="Media",'Mapa final'!$AN$44="Moderado"),CONCATENATE("R2C",'Mapa final'!$U$44),"")</f>
        <v/>
      </c>
      <c r="AC36" s="38" t="str">
        <f>IF(AND('Mapa final'!$AL$39="Media",'Mapa final'!$AN$39="Mayor"),CONCATENATE("R2C",'Mapa final'!$U$39),"")</f>
        <v/>
      </c>
      <c r="AD36" s="39" t="str">
        <f>IF(AND('Mapa final'!$AL$40="Media",'Mapa final'!$AN$40="Mayor"),CONCATENATE("R2C",'Mapa final'!$U$40),"")</f>
        <v/>
      </c>
      <c r="AE36" s="39" t="str">
        <f>IF(AND('Mapa final'!$AL$41="Media",'Mapa final'!$AN$41="Mayor"),CONCATENATE("R2C",'Mapa final'!$U$41),"")</f>
        <v/>
      </c>
      <c r="AF36" s="39" t="str">
        <f>IF(AND('Mapa final'!$AL$42="Media",'Mapa final'!$AN$42="Mayor"),CONCATENATE("R2C",'Mapa final'!$U$42),"")</f>
        <v/>
      </c>
      <c r="AG36" s="39" t="str">
        <f>IF(AND('Mapa final'!$AL$43="Media",'Mapa final'!$AN$43="Mayor"),CONCATENATE("R2C",'Mapa final'!$U$43),"")</f>
        <v/>
      </c>
      <c r="AH36" s="40" t="str">
        <f>IF(AND('Mapa final'!$AL$44="Media",'Mapa final'!$AN$44="Mayor"),CONCATENATE("R2C",'Mapa final'!$U$44),"")</f>
        <v/>
      </c>
      <c r="AI36" s="41" t="str">
        <f>IF(AND('Mapa final'!$AL$39="Media",'Mapa final'!$AN$39="Catastrófico"),CONCATENATE("R2C",'Mapa final'!$U$39),"")</f>
        <v/>
      </c>
      <c r="AJ36" s="42" t="str">
        <f>IF(AND('Mapa final'!$AL$40="Media",'Mapa final'!$AN$40="Catastrófico"),CONCATENATE("R2C",'Mapa final'!$U$40),"")</f>
        <v/>
      </c>
      <c r="AK36" s="42" t="str">
        <f>IF(AND('Mapa final'!$AL$41="Media",'Mapa final'!$AN$41="Catastrófico"),CONCATENATE("R2C",'Mapa final'!$U$41),"")</f>
        <v/>
      </c>
      <c r="AL36" s="42" t="str">
        <f>IF(AND('Mapa final'!$AL$42="Media",'Mapa final'!$AN$42="Catastrófico"),CONCATENATE("R2C",'Mapa final'!$U$42),"")</f>
        <v/>
      </c>
      <c r="AM36" s="42" t="str">
        <f>IF(AND('Mapa final'!$AL$43="Media",'Mapa final'!$AN$43="Catastrófico"),CONCATENATE("R2C",'Mapa final'!$U$43),"")</f>
        <v/>
      </c>
      <c r="AN36" s="43" t="str">
        <f>IF(AND('Mapa final'!$AL$44="Media",'Mapa final'!$AN$44="Catastrófico"),CONCATENATE("R2C",'Mapa final'!$U$44),"")</f>
        <v/>
      </c>
      <c r="AO36" s="69"/>
      <c r="AP36" s="541"/>
      <c r="AQ36" s="542"/>
      <c r="AR36" s="542"/>
      <c r="AS36" s="542"/>
      <c r="AT36" s="542"/>
      <c r="AU36" s="543"/>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c r="B37" s="69"/>
      <c r="C37" s="409"/>
      <c r="D37" s="409"/>
      <c r="E37" s="410"/>
      <c r="F37" s="501"/>
      <c r="G37" s="502"/>
      <c r="H37" s="502"/>
      <c r="I37" s="502"/>
      <c r="J37" s="503"/>
      <c r="K37" s="53" t="str">
        <f>IF(AND('Mapa final'!$AL$45="Media",'Mapa final'!$AN$45="Leve"),CONCATENATE("R2C",'Mapa final'!$U$45),"")</f>
        <v/>
      </c>
      <c r="L37" s="54" t="str">
        <f>IF(AND('Mapa final'!$AL$46="Media",'Mapa final'!$AN$46="Leve"),CONCATENATE("R2C",'Mapa final'!$U$46),"")</f>
        <v/>
      </c>
      <c r="M37" s="54" t="str">
        <f>IF(AND('Mapa final'!$AL$47="Media",'Mapa final'!$AN$47="Leve"),CONCATENATE("R2C",'Mapa final'!$U$47),"")</f>
        <v/>
      </c>
      <c r="N37" s="54" t="str">
        <f>IF(AND('Mapa final'!$AL$48="Media",'Mapa final'!$AN$48="Leve"),CONCATENATE("R2C",'Mapa final'!$U$48),"")</f>
        <v/>
      </c>
      <c r="O37" s="54" t="str">
        <f>IF(AND('Mapa final'!$AL$49="Media",'Mapa final'!$AN$49="Leve"),CONCATENATE("R2C",'Mapa final'!$U$49),"")</f>
        <v/>
      </c>
      <c r="P37" s="55" t="str">
        <f>IF(AND('Mapa final'!$AL$60="Media",'Mapa final'!$AN$50="Leve"),CONCATENATE("R2C",'Mapa final'!$U$50),"")</f>
        <v/>
      </c>
      <c r="Q37" s="53" t="str">
        <f>IF(AND('Mapa final'!$AL$45="Media",'Mapa final'!$AN$45="Menor"),CONCATENATE("R2C",'Mapa final'!$U$45),"")</f>
        <v/>
      </c>
      <c r="R37" s="54" t="str">
        <f>IF(AND('Mapa final'!$AL$46="Media",'Mapa final'!$AN$46="Menor"),CONCATENATE("R2C",'Mapa final'!$U$46),"")</f>
        <v/>
      </c>
      <c r="S37" s="54" t="str">
        <f>IF(AND('Mapa final'!$AL$47="Media",'Mapa final'!$AN$47="Menor"),CONCATENATE("R2C",'Mapa final'!$U$47),"")</f>
        <v/>
      </c>
      <c r="T37" s="54" t="str">
        <f>IF(AND('Mapa final'!$AL$48="Media",'Mapa final'!$AN$48="Menor"),CONCATENATE("R2C",'Mapa final'!$U$48),"")</f>
        <v/>
      </c>
      <c r="U37" s="54" t="str">
        <f>IF(AND('Mapa final'!$AL$49="Media",'Mapa final'!$AN$49="Menor"),CONCATENATE("R2C",'Mapa final'!$U$49),"")</f>
        <v/>
      </c>
      <c r="V37" s="55" t="str">
        <f>IF(AND('Mapa final'!$AL$60="Media",'Mapa final'!$AN$50="Menor"),CONCATENATE("R2C",'Mapa final'!$U$50),"")</f>
        <v/>
      </c>
      <c r="W37" s="53" t="str">
        <f>IF(AND('Mapa final'!$AL$45="Media",'Mapa final'!$AN$45="Moderado"),CONCATENATE("R2C",'Mapa final'!$U$45),"")</f>
        <v/>
      </c>
      <c r="X37" s="54" t="str">
        <f>IF(AND('Mapa final'!$AL$46="Media",'Mapa final'!$AN$46="Moderado"),CONCATENATE("R2C",'Mapa final'!$U$46),"")</f>
        <v/>
      </c>
      <c r="Y37" s="54" t="str">
        <f>IF(AND('Mapa final'!$AL$47="Media",'Mapa final'!$AN$47="Moderado"),CONCATENATE("R2C",'Mapa final'!$U$47),"")</f>
        <v/>
      </c>
      <c r="Z37" s="54" t="str">
        <f>IF(AND('Mapa final'!$AL$48="Media",'Mapa final'!$AN$48="Moderado"),CONCATENATE("R2C",'Mapa final'!$U$48),"")</f>
        <v/>
      </c>
      <c r="AA37" s="54" t="str">
        <f>IF(AND('Mapa final'!$AL$49="Media",'Mapa final'!$AN$49="Moderado"),CONCATENATE("R2C",'Mapa final'!$U$49),"")</f>
        <v/>
      </c>
      <c r="AB37" s="55" t="str">
        <f>IF(AND('Mapa final'!$AL$60="Media",'Mapa final'!$AN$50="Moderado"),CONCATENATE("R2C",'Mapa final'!$U$50),"")</f>
        <v/>
      </c>
      <c r="AC37" s="38" t="str">
        <f>IF(AND('Mapa final'!$AL$45="Media",'Mapa final'!$AN$45="Mayor"),CONCATENATE("R2C",'Mapa final'!$U$45),"")</f>
        <v/>
      </c>
      <c r="AD37" s="39" t="str">
        <f>IF(AND('Mapa final'!$AL$46="Media",'Mapa final'!$AN$46="Mayor"),CONCATENATE("R2C",'Mapa final'!$U$46),"")</f>
        <v/>
      </c>
      <c r="AE37" s="39" t="str">
        <f>IF(AND('Mapa final'!$AL$47="Media",'Mapa final'!$AN$47="Mayor"),CONCATENATE("R2C",'Mapa final'!$U$47),"")</f>
        <v/>
      </c>
      <c r="AF37" s="39" t="str">
        <f>IF(AND('Mapa final'!$AL$48="Media",'Mapa final'!$AN$48="Mayor"),CONCATENATE("R2C",'Mapa final'!$U$48),"")</f>
        <v/>
      </c>
      <c r="AG37" s="39" t="str">
        <f>IF(AND('Mapa final'!$AL$49="Media",'Mapa final'!$AN$49="Mayor"),CONCATENATE("R2C",'Mapa final'!$U$49),"")</f>
        <v/>
      </c>
      <c r="AH37" s="40" t="str">
        <f>IF(AND('Mapa final'!$AL$60="Media",'Mapa final'!$AN$50="Mayor"),CONCATENATE("R2C",'Mapa final'!$U$50),"")</f>
        <v/>
      </c>
      <c r="AI37" s="41" t="str">
        <f>IF(AND('Mapa final'!$AL$45="Media",'Mapa final'!$AN$45="Catastrófico"),CONCATENATE("R2C",'Mapa final'!$U$45),"")</f>
        <v/>
      </c>
      <c r="AJ37" s="42" t="str">
        <f>IF(AND('Mapa final'!$AL$46="Media",'Mapa final'!$AN$46="Catastrófico"),CONCATENATE("R2C",'Mapa final'!$U$46),"")</f>
        <v/>
      </c>
      <c r="AK37" s="42" t="str">
        <f>IF(AND('Mapa final'!$AL$47="Media",'Mapa final'!$AN$47="Catastrófico"),CONCATENATE("R2C",'Mapa final'!$U$47),"")</f>
        <v/>
      </c>
      <c r="AL37" s="42" t="str">
        <f>IF(AND('Mapa final'!$AL$48="Media",'Mapa final'!$AN$48="Catastrófico"),CONCATENATE("R2C",'Mapa final'!$U$48),"")</f>
        <v/>
      </c>
      <c r="AM37" s="42" t="str">
        <f>IF(AND('Mapa final'!$AL$49="Media",'Mapa final'!$AN$49="Catastrófico"),CONCATENATE("R2C",'Mapa final'!$U$49),"")</f>
        <v/>
      </c>
      <c r="AN37" s="43" t="str">
        <f>IF(AND('Mapa final'!$AL$60="Media",'Mapa final'!$AN$50="Catastrófico"),CONCATENATE("R2C",'Mapa final'!$U$50),"")</f>
        <v/>
      </c>
      <c r="AO37" s="69"/>
      <c r="AP37" s="541"/>
      <c r="AQ37" s="542"/>
      <c r="AR37" s="542"/>
      <c r="AS37" s="542"/>
      <c r="AT37" s="542"/>
      <c r="AU37" s="543"/>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c r="B38" s="69"/>
      <c r="C38" s="409"/>
      <c r="D38" s="409"/>
      <c r="E38" s="410"/>
      <c r="F38" s="501"/>
      <c r="G38" s="502"/>
      <c r="H38" s="502"/>
      <c r="I38" s="502"/>
      <c r="J38" s="503"/>
      <c r="K38" s="53" t="str">
        <f>IF(AND('Mapa final'!$AL$51="Media",'Mapa final'!$AN$51="Leve"),CONCATENATE("R2C",'Mapa final'!$U$51),"")</f>
        <v/>
      </c>
      <c r="L38" s="54" t="str">
        <f>IF(AND('Mapa final'!$AL$52="Media",'Mapa final'!$AN$52="Leve"),CONCATENATE("R2C",'Mapa final'!$U$52),"")</f>
        <v/>
      </c>
      <c r="M38" s="54" t="str">
        <f>IF(AND('Mapa final'!$AL$53="Media",'Mapa final'!$AN$53="Leve"),CONCATENATE("R2C",'Mapa final'!$U$53),"")</f>
        <v/>
      </c>
      <c r="N38" s="54" t="str">
        <f>IF(AND('Mapa final'!$AL$54="Media",'Mapa final'!$AN$54="Leve"),CONCATENATE("R2C",'Mapa final'!$U$54),"")</f>
        <v/>
      </c>
      <c r="O38" s="54" t="str">
        <f>IF(AND('Mapa final'!$AL$55="Media",'Mapa final'!$AN$55="Leve"),CONCATENATE("R2C",'Mapa final'!$U$55),"")</f>
        <v/>
      </c>
      <c r="P38" s="55" t="str">
        <f>IF(AND('Mapa final'!$AL$56="Media",'Mapa final'!$AN$56="Leve"),CONCATENATE("R2C",'Mapa final'!$U$56),"")</f>
        <v/>
      </c>
      <c r="Q38" s="53" t="str">
        <f>IF(AND('Mapa final'!$AL$51="Media",'Mapa final'!$AN$51="Menor"),CONCATENATE("R2C",'Mapa final'!$U$51),"")</f>
        <v/>
      </c>
      <c r="R38" s="54" t="str">
        <f>IF(AND('Mapa final'!$AL$52="Media",'Mapa final'!$AN$52="Menor"),CONCATENATE("R2C",'Mapa final'!$U$52),"")</f>
        <v/>
      </c>
      <c r="S38" s="54" t="str">
        <f>IF(AND('Mapa final'!$AL$53="Media",'Mapa final'!$AN$53="Menor"),CONCATENATE("R2C",'Mapa final'!$U$53),"")</f>
        <v/>
      </c>
      <c r="T38" s="54" t="str">
        <f>IF(AND('Mapa final'!$AL$54="Media",'Mapa final'!$AN$54="Menor"),CONCATENATE("R2C",'Mapa final'!$U$54),"")</f>
        <v/>
      </c>
      <c r="U38" s="54" t="str">
        <f>IF(AND('Mapa final'!$AL$55="Media",'Mapa final'!$AN$55="Menor"),CONCATENATE("R2C",'Mapa final'!$U$55),"")</f>
        <v/>
      </c>
      <c r="V38" s="55" t="str">
        <f>IF(AND('Mapa final'!$AL$56="Media",'Mapa final'!$AN$56="Menor"),CONCATENATE("R2C",'Mapa final'!$U$56),"")</f>
        <v/>
      </c>
      <c r="W38" s="53" t="str">
        <f>IF(AND('Mapa final'!$AL$51="Media",'Mapa final'!$AN$51="Moderado"),CONCATENATE("R2C",'Mapa final'!$U$51),"")</f>
        <v/>
      </c>
      <c r="X38" s="54" t="str">
        <f>IF(AND('Mapa final'!$AL$52="Media",'Mapa final'!$AN$52="Moderado"),CONCATENATE("R2C",'Mapa final'!$U$52),"")</f>
        <v/>
      </c>
      <c r="Y38" s="54" t="str">
        <f>IF(AND('Mapa final'!$AL$53="Media",'Mapa final'!$AN$53="Moderado"),CONCATENATE("R2C",'Mapa final'!$U$53),"")</f>
        <v/>
      </c>
      <c r="Z38" s="54" t="str">
        <f>IF(AND('Mapa final'!$AL$54="Media",'Mapa final'!$AN$54="Moderado"),CONCATENATE("R2C",'Mapa final'!$U$54),"")</f>
        <v/>
      </c>
      <c r="AA38" s="54" t="str">
        <f>IF(AND('Mapa final'!$AL$55="Media",'Mapa final'!$AN$55="Moderado"),CONCATENATE("R2C",'Mapa final'!$U$55),"")</f>
        <v/>
      </c>
      <c r="AB38" s="55" t="str">
        <f>IF(AND('Mapa final'!$AL$56="Media",'Mapa final'!$AN$56="Moderado"),CONCATENATE("R2C",'Mapa final'!$U$56),"")</f>
        <v/>
      </c>
      <c r="AC38" s="38" t="str">
        <f>IF(AND('Mapa final'!$AL$51="Media",'Mapa final'!$AN$51="Mayor"),CONCATENATE("R2C",'Mapa final'!$U$51),"")</f>
        <v/>
      </c>
      <c r="AD38" s="39" t="str">
        <f>IF(AND('Mapa final'!$AL$52="Media",'Mapa final'!$AN$52="Mayor"),CONCATENATE("R2C",'Mapa final'!$U$52),"")</f>
        <v/>
      </c>
      <c r="AE38" s="39" t="str">
        <f>IF(AND('Mapa final'!$AL$53="Media",'Mapa final'!$AN$53="Mayor"),CONCATENATE("R2C",'Mapa final'!$U$53),"")</f>
        <v/>
      </c>
      <c r="AF38" s="39" t="str">
        <f>IF(AND('Mapa final'!$AL$54="Media",'Mapa final'!$AN$54="Mayor"),CONCATENATE("R2C",'Mapa final'!$U$54),"")</f>
        <v/>
      </c>
      <c r="AG38" s="39" t="str">
        <f>IF(AND('Mapa final'!$AL$55="Media",'Mapa final'!$AN$55="Mayor"),CONCATENATE("R2C",'Mapa final'!$U$55),"")</f>
        <v/>
      </c>
      <c r="AH38" s="40" t="str">
        <f>IF(AND('Mapa final'!$AL$56="Media",'Mapa final'!$AN$56="Mayor"),CONCATENATE("R2C",'Mapa final'!$U$56),"")</f>
        <v/>
      </c>
      <c r="AI38" s="41" t="str">
        <f>IF(AND('Mapa final'!$AL$51="Media",'Mapa final'!$AN$51="Catastrófico"),CONCATENATE("R2C",'Mapa final'!$U$51),"")</f>
        <v/>
      </c>
      <c r="AJ38" s="42" t="str">
        <f>IF(AND('Mapa final'!$AL$52="Media",'Mapa final'!$AN$52="Catastrófico"),CONCATENATE("R2C",'Mapa final'!$U$52),"")</f>
        <v/>
      </c>
      <c r="AK38" s="42" t="str">
        <f>IF(AND('Mapa final'!$AL$53="Media",'Mapa final'!$AN$53="Catastrófico"),CONCATENATE("R2C",'Mapa final'!$U$53),"")</f>
        <v/>
      </c>
      <c r="AL38" s="42" t="str">
        <f>IF(AND('Mapa final'!$AL$54="Media",'Mapa final'!$AN$54="Catastrófico"),CONCATENATE("R2C",'Mapa final'!$U$54),"")</f>
        <v/>
      </c>
      <c r="AM38" s="42" t="str">
        <f>IF(AND('Mapa final'!$AL$55="Media",'Mapa final'!$AN$55="Catastrófico"),CONCATENATE("R2C",'Mapa final'!$U$55),"")</f>
        <v/>
      </c>
      <c r="AN38" s="43" t="str">
        <f>IF(AND('Mapa final'!$AL$56="Media",'Mapa final'!$AN$56="Catastrófico"),CONCATENATE("R2C",'Mapa final'!$U$56),"")</f>
        <v/>
      </c>
      <c r="AO38" s="69"/>
      <c r="AP38" s="541"/>
      <c r="AQ38" s="542"/>
      <c r="AR38" s="542"/>
      <c r="AS38" s="542"/>
      <c r="AT38" s="542"/>
      <c r="AU38" s="543"/>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c r="B39" s="69"/>
      <c r="C39" s="409"/>
      <c r="D39" s="409"/>
      <c r="E39" s="410"/>
      <c r="F39" s="501"/>
      <c r="G39" s="502"/>
      <c r="H39" s="502"/>
      <c r="I39" s="502"/>
      <c r="J39" s="503"/>
      <c r="K39" s="53" t="str">
        <f>IF(AND('Mapa final'!$AL$57="Media",'Mapa final'!$AN$57="Leve"),CONCATENATE("R2C",'Mapa final'!$U$57),"")</f>
        <v/>
      </c>
      <c r="L39" s="54" t="str">
        <f>IF(AND('Mapa final'!$AL$58="Media",'Mapa final'!$AN$58="Leve"),CONCATENATE("R2C",'Mapa final'!$U$58),"")</f>
        <v/>
      </c>
      <c r="M39" s="54" t="str">
        <f>IF(AND('Mapa final'!$AL$59="Media",'Mapa final'!$AN$59="Leve"),CONCATENATE("R2C",'Mapa final'!$U$59),"")</f>
        <v/>
      </c>
      <c r="N39" s="54" t="str">
        <f>IF(AND('Mapa final'!$AL$60="Media",'Mapa final'!$AN$60="Leve"),CONCATENATE("R2C",'Mapa final'!$U$60),"")</f>
        <v/>
      </c>
      <c r="O39" s="54" t="str">
        <f>IF(AND('Mapa final'!$AL$61="Media",'Mapa final'!$AN$61="Leve"),CONCATENATE("R2C",'Mapa final'!$U$61),"")</f>
        <v/>
      </c>
      <c r="P39" s="55" t="str">
        <f>IF(AND('Mapa final'!$AL$62="Media",'Mapa final'!$AN$62="Leve"),CONCATENATE("R2C",'Mapa final'!$U$62),"")</f>
        <v/>
      </c>
      <c r="Q39" s="53" t="str">
        <f>IF(AND('Mapa final'!$AL$57="Media",'Mapa final'!$AN$57="Menor"),CONCATENATE("R2C",'Mapa final'!$U$57),"")</f>
        <v/>
      </c>
      <c r="R39" s="54" t="str">
        <f>IF(AND('Mapa final'!$AL$58="Media",'Mapa final'!$AN$58="Menor"),CONCATENATE("R2C",'Mapa final'!$U$58),"")</f>
        <v/>
      </c>
      <c r="S39" s="54" t="str">
        <f>IF(AND('Mapa final'!$AL$59="Media",'Mapa final'!$AN$59="Menor"),CONCATENATE("R2C",'Mapa final'!$U$59),"")</f>
        <v/>
      </c>
      <c r="T39" s="54" t="str">
        <f>IF(AND('Mapa final'!$AL$60="Media",'Mapa final'!$AN$60="Menor"),CONCATENATE("R2C",'Mapa final'!$U$60),"")</f>
        <v/>
      </c>
      <c r="U39" s="54" t="str">
        <f>IF(AND('Mapa final'!$AL$61="Media",'Mapa final'!$AN$61="Menor"),CONCATENATE("R2C",'Mapa final'!$U$61),"")</f>
        <v/>
      </c>
      <c r="V39" s="55" t="str">
        <f>IF(AND('Mapa final'!$AL$62="Media",'Mapa final'!$AN$62="Menor"),CONCATENATE("R2C",'Mapa final'!$U$62),"")</f>
        <v/>
      </c>
      <c r="W39" s="53" t="str">
        <f>IF(AND('Mapa final'!$AL$57="Media",'Mapa final'!$AN$57="Moderado"),CONCATENATE("R2C",'Mapa final'!$U$57),"")</f>
        <v/>
      </c>
      <c r="X39" s="54" t="str">
        <f>IF(AND('Mapa final'!$AL$58="Media",'Mapa final'!$AN$58="Moderado"),CONCATENATE("R2C",'Mapa final'!$U$58),"")</f>
        <v/>
      </c>
      <c r="Y39" s="54" t="str">
        <f>IF(AND('Mapa final'!$AL$59="Media",'Mapa final'!$AN$59="Moderado"),CONCATENATE("R2C",'Mapa final'!$U$59),"")</f>
        <v/>
      </c>
      <c r="Z39" s="54" t="str">
        <f>IF(AND('Mapa final'!$AL$60="Media",'Mapa final'!$AN$60="Moderado"),CONCATENATE("R2C",'Mapa final'!$U$60),"")</f>
        <v/>
      </c>
      <c r="AA39" s="54" t="str">
        <f>IF(AND('Mapa final'!$AL$61="Media",'Mapa final'!$AN$61="Moderado"),CONCATENATE("R2C",'Mapa final'!$U$61),"")</f>
        <v/>
      </c>
      <c r="AB39" s="55" t="str">
        <f>IF(AND('Mapa final'!$AL$62="Media",'Mapa final'!$AN$62="Moderado"),CONCATENATE("R2C",'Mapa final'!$U$62),"")</f>
        <v/>
      </c>
      <c r="AC39" s="38" t="str">
        <f>IF(AND('Mapa final'!$AL$57="Media",'Mapa final'!$AN$57="Mayor"),CONCATENATE("R2C",'Mapa final'!$U$57),"")</f>
        <v/>
      </c>
      <c r="AD39" s="39" t="str">
        <f>IF(AND('Mapa final'!$AL$58="Media",'Mapa final'!$AN$58="Mayor"),CONCATENATE("R2C",'Mapa final'!$U$58),"")</f>
        <v/>
      </c>
      <c r="AE39" s="39" t="str">
        <f>IF(AND('Mapa final'!$AL$59="Media",'Mapa final'!$AN$59="Mayor"),CONCATENATE("R2C",'Mapa final'!$U$59),"")</f>
        <v/>
      </c>
      <c r="AF39" s="39" t="str">
        <f>IF(AND('Mapa final'!$AL$60="Media",'Mapa final'!$AN$60="Mayor"),CONCATENATE("R2C",'Mapa final'!$U$60),"")</f>
        <v/>
      </c>
      <c r="AG39" s="39" t="str">
        <f>IF(AND('Mapa final'!$AL$61="Media",'Mapa final'!$AN$61="Mayor"),CONCATENATE("R2C",'Mapa final'!$U$61),"")</f>
        <v/>
      </c>
      <c r="AH39" s="40" t="str">
        <f>IF(AND('Mapa final'!$AL$62="Media",'Mapa final'!$AN$62="Mayor"),CONCATENATE("R2C",'Mapa final'!$U$62),"")</f>
        <v/>
      </c>
      <c r="AI39" s="41" t="str">
        <f>IF(AND('Mapa final'!$AL$57="Media",'Mapa final'!$AN$57="Catastrófico"),CONCATENATE("R2C",'Mapa final'!$U$57),"")</f>
        <v/>
      </c>
      <c r="AJ39" s="42" t="str">
        <f>IF(AND('Mapa final'!$AL$58="Media",'Mapa final'!$AN$58="Catastrófico"),CONCATENATE("R2C",'Mapa final'!$U$58),"")</f>
        <v/>
      </c>
      <c r="AK39" s="42" t="str">
        <f>IF(AND('Mapa final'!$AL$59="Media",'Mapa final'!$AN$59="Catastrófico"),CONCATENATE("R2C",'Mapa final'!$U$59),"")</f>
        <v/>
      </c>
      <c r="AL39" s="42" t="str">
        <f>IF(AND('Mapa final'!$AL$60="Media",'Mapa final'!$AN$60="Catastrófico"),CONCATENATE("R2C",'Mapa final'!$U$60),"")</f>
        <v/>
      </c>
      <c r="AM39" s="42" t="str">
        <f>IF(AND('Mapa final'!$AL$61="Media",'Mapa final'!$AN$61="Catastrófico"),CONCATENATE("R2C",'Mapa final'!$U$61),"")</f>
        <v/>
      </c>
      <c r="AN39" s="43" t="str">
        <f>IF(AND('Mapa final'!$AL$62="Media",'Mapa final'!$AN$62="Catastrófico"),CONCATENATE("R2C",'Mapa final'!$U$62),"")</f>
        <v/>
      </c>
      <c r="AO39" s="69"/>
      <c r="AP39" s="541"/>
      <c r="AQ39" s="542"/>
      <c r="AR39" s="542"/>
      <c r="AS39" s="542"/>
      <c r="AT39" s="542"/>
      <c r="AU39" s="543"/>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c r="B40" s="69"/>
      <c r="C40" s="409"/>
      <c r="D40" s="409"/>
      <c r="E40" s="410"/>
      <c r="F40" s="501"/>
      <c r="G40" s="502"/>
      <c r="H40" s="502"/>
      <c r="I40" s="502"/>
      <c r="J40" s="503"/>
      <c r="K40" s="53" t="str">
        <f>IF(AND('Mapa final'!$AL$63="Media",'Mapa final'!$AN$63="Leve"),CONCATENATE("R2C",'Mapa final'!$U$63),"")</f>
        <v/>
      </c>
      <c r="L40" s="54" t="str">
        <f>IF(AND('Mapa final'!$AL$64="Media",'Mapa final'!$AN$64="Leve"),CONCATENATE("R2C",'Mapa final'!$U$64),"")</f>
        <v/>
      </c>
      <c r="M40" s="54" t="str">
        <f>IF(AND('Mapa final'!$AL$65="Media",'Mapa final'!$AN$65="Leve"),CONCATENATE("R2C",'Mapa final'!$U$65),"")</f>
        <v/>
      </c>
      <c r="N40" s="54" t="str">
        <f>IF(AND('Mapa final'!$AL$66="Media",'Mapa final'!$AN$66="Leve"),CONCATENATE("R2C",'Mapa final'!$U$66),"")</f>
        <v/>
      </c>
      <c r="O40" s="54" t="str">
        <f>IF(AND('Mapa final'!$AL$67="Media",'Mapa final'!$AN$67="Leve"),CONCATENATE("R2C",'Mapa final'!$U$67),"")</f>
        <v/>
      </c>
      <c r="P40" s="55" t="str">
        <f>IF(AND('Mapa final'!$AL$68="Media",'Mapa final'!$AN$68="Leve"),CONCATENATE("R2C",'Mapa final'!$U$68),"")</f>
        <v/>
      </c>
      <c r="Q40" s="53" t="str">
        <f>IF(AND('Mapa final'!$AL$63="Media",'Mapa final'!$AN$63="Menor"),CONCATENATE("R2C",'Mapa final'!$U$63),"")</f>
        <v/>
      </c>
      <c r="R40" s="54" t="str">
        <f>IF(AND('Mapa final'!$AL$64="Media",'Mapa final'!$AN$64="Menor"),CONCATENATE("R2C",'Mapa final'!$U$64),"")</f>
        <v/>
      </c>
      <c r="S40" s="54" t="str">
        <f>IF(AND('Mapa final'!$AL$65="Media",'Mapa final'!$AN$65="Menor"),CONCATENATE("R2C",'Mapa final'!$U$65),"")</f>
        <v/>
      </c>
      <c r="T40" s="54" t="str">
        <f>IF(AND('Mapa final'!$AL$66="Media",'Mapa final'!$AN$66="Menor"),CONCATENATE("R2C",'Mapa final'!$U$66),"")</f>
        <v/>
      </c>
      <c r="U40" s="54" t="str">
        <f>IF(AND('Mapa final'!$AL$67="Media",'Mapa final'!$AN$67="Menor"),CONCATENATE("R2C",'Mapa final'!$U$67),"")</f>
        <v/>
      </c>
      <c r="V40" s="55" t="str">
        <f>IF(AND('Mapa final'!$AL$68="Media",'Mapa final'!$AN$68="Menor"),CONCATENATE("R2C",'Mapa final'!$U$68),"")</f>
        <v/>
      </c>
      <c r="W40" s="53" t="str">
        <f>IF(AND('Mapa final'!$AL$63="Media",'Mapa final'!$AN$63="Moderado"),CONCATENATE("R2C",'Mapa final'!$U$63),"")</f>
        <v/>
      </c>
      <c r="X40" s="54" t="str">
        <f>IF(AND('Mapa final'!$AL$64="Media",'Mapa final'!$AN$64="Moderado"),CONCATENATE("R2C",'Mapa final'!$U$64),"")</f>
        <v/>
      </c>
      <c r="Y40" s="54" t="str">
        <f>IF(AND('Mapa final'!$AL$65="Media",'Mapa final'!$AN$65="Moderado"),CONCATENATE("R2C",'Mapa final'!$U$65),"")</f>
        <v/>
      </c>
      <c r="Z40" s="54" t="str">
        <f>IF(AND('Mapa final'!$AL$66="Media",'Mapa final'!$AN$66="Moderado"),CONCATENATE("R2C",'Mapa final'!$U$66),"")</f>
        <v/>
      </c>
      <c r="AA40" s="54" t="str">
        <f>IF(AND('Mapa final'!$AL$67="Media",'Mapa final'!$AN$67="Moderado"),CONCATENATE("R2C",'Mapa final'!$U$67),"")</f>
        <v/>
      </c>
      <c r="AB40" s="55" t="str">
        <f>IF(AND('Mapa final'!$AL$68="Media",'Mapa final'!$AN$68="Moderado"),CONCATENATE("R2C",'Mapa final'!$U$68),"")</f>
        <v/>
      </c>
      <c r="AC40" s="38" t="str">
        <f>IF(AND('Mapa final'!$AL$63="Media",'Mapa final'!$AN$63="Mayor"),CONCATENATE("R2C",'Mapa final'!$U$63),"")</f>
        <v/>
      </c>
      <c r="AD40" s="39" t="str">
        <f>IF(AND('Mapa final'!$AL$64="Media",'Mapa final'!$AN$64="Mayor"),CONCATENATE("R2C",'Mapa final'!$U$64),"")</f>
        <v/>
      </c>
      <c r="AE40" s="39" t="str">
        <f>IF(AND('Mapa final'!$AL$65="Media",'Mapa final'!$AN$65="Mayor"),CONCATENATE("R2C",'Mapa final'!$U$65),"")</f>
        <v/>
      </c>
      <c r="AF40" s="39" t="str">
        <f>IF(AND('Mapa final'!$AL$66="Media",'Mapa final'!$AN$66="Mayor"),CONCATENATE("R2C",'Mapa final'!$U$66),"")</f>
        <v/>
      </c>
      <c r="AG40" s="39" t="str">
        <f>IF(AND('Mapa final'!$AL$67="Media",'Mapa final'!$AN$67="Mayor"),CONCATENATE("R2C",'Mapa final'!$U$67),"")</f>
        <v/>
      </c>
      <c r="AH40" s="40" t="str">
        <f>IF(AND('Mapa final'!$AL$68="Media",'Mapa final'!$AN$68="Mayor"),CONCATENATE("R2C",'Mapa final'!$U$68),"")</f>
        <v/>
      </c>
      <c r="AI40" s="41" t="str">
        <f>IF(AND('Mapa final'!$AL$63="Media",'Mapa final'!$AN$63="Catastrófico"),CONCATENATE("R2C",'Mapa final'!$U$63),"")</f>
        <v/>
      </c>
      <c r="AJ40" s="42" t="str">
        <f>IF(AND('Mapa final'!$AL$64="Media",'Mapa final'!$AN$64="Catastrófico"),CONCATENATE("R2C",'Mapa final'!$U$64),"")</f>
        <v/>
      </c>
      <c r="AK40" s="42" t="str">
        <f>IF(AND('Mapa final'!$AL$65="Media",'Mapa final'!$AN$65="Catastrófico"),CONCATENATE("R2C",'Mapa final'!$U$65),"")</f>
        <v/>
      </c>
      <c r="AL40" s="42" t="str">
        <f>IF(AND('Mapa final'!$AL$66="Media",'Mapa final'!$AN$66="Catastrófico"),CONCATENATE("R2C",'Mapa final'!$U$66),"")</f>
        <v/>
      </c>
      <c r="AM40" s="42" t="str">
        <f>IF(AND('Mapa final'!$AL$67="Media",'Mapa final'!$AN$67="Catastrófico"),CONCATENATE("R2C",'Mapa final'!$U$67),"")</f>
        <v/>
      </c>
      <c r="AN40" s="43" t="str">
        <f>IF(AND('Mapa final'!$AL$68="Media",'Mapa final'!$AN$68="Catastrófico"),CONCATENATE("R2C",'Mapa final'!$U$68),"")</f>
        <v/>
      </c>
      <c r="AO40" s="69"/>
      <c r="AP40" s="541"/>
      <c r="AQ40" s="542"/>
      <c r="AR40" s="542"/>
      <c r="AS40" s="542"/>
      <c r="AT40" s="542"/>
      <c r="AU40" s="543"/>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c r="B41" s="69"/>
      <c r="C41" s="409"/>
      <c r="D41" s="409"/>
      <c r="E41" s="410"/>
      <c r="F41" s="504"/>
      <c r="G41" s="505"/>
      <c r="H41" s="505"/>
      <c r="I41" s="505"/>
      <c r="J41" s="506"/>
      <c r="K41" s="53" t="str">
        <f>IF(AND('Mapa final'!$AL$69="Media",'Mapa final'!$AN$69="Leve"),CONCATENATE("R2C",'Mapa final'!$U$69),"")</f>
        <v/>
      </c>
      <c r="L41" s="54" t="str">
        <f>IF(AND('Mapa final'!$AL$70="Media",'Mapa final'!$AN$70="Leve"),CONCATENATE("R2C",'Mapa final'!$U$70),"")</f>
        <v/>
      </c>
      <c r="M41" s="54" t="str">
        <f>IF(AND('Mapa final'!$AL$71="Media",'Mapa final'!$AN$71="Leve"),CONCATENATE("R2C",'Mapa final'!$U$71),"")</f>
        <v/>
      </c>
      <c r="N41" s="54" t="str">
        <f>IF(AND('Mapa final'!$AL$72="Media",'Mapa final'!$AN$72="Leve"),CONCATENATE("R2C",'Mapa final'!$U$72),"")</f>
        <v/>
      </c>
      <c r="O41" s="54" t="str">
        <f>IF(AND('Mapa final'!$AL$74="Media",'Mapa final'!$AN$74="Leve"),CONCATENATE("R2C",'Mapa final'!$U$74),"")</f>
        <v/>
      </c>
      <c r="P41" s="55" t="str">
        <f>IF(AND('Mapa final'!$AL$75="Media",'Mapa final'!$AN$75="Leve"),CONCATENATE("R2C",'Mapa final'!$U$75),"")</f>
        <v/>
      </c>
      <c r="Q41" s="53" t="str">
        <f>IF(AND('Mapa final'!$AL$69="Media",'Mapa final'!$AN$69="Menor"),CONCATENATE("R2C",'Mapa final'!$U$69),"")</f>
        <v/>
      </c>
      <c r="R41" s="54" t="str">
        <f>IF(AND('Mapa final'!$AL$70="Media",'Mapa final'!$AN$70="Menor"),CONCATENATE("R2C",'Mapa final'!$U$70),"")</f>
        <v/>
      </c>
      <c r="S41" s="54" t="str">
        <f>IF(AND('Mapa final'!$AL$71="Media",'Mapa final'!$AN$71="Menor"),CONCATENATE("R2C",'Mapa final'!$U$71),"")</f>
        <v/>
      </c>
      <c r="T41" s="54" t="str">
        <f>IF(AND('Mapa final'!$AL$72="Media",'Mapa final'!$AN$72="Menor"),CONCATENATE("R2C",'Mapa final'!$U$72),"")</f>
        <v/>
      </c>
      <c r="U41" s="54" t="str">
        <f>IF(AND('Mapa final'!$AL$74="Media",'Mapa final'!$AN$74="Menor"),CONCATENATE("R2C",'Mapa final'!$U$74),"")</f>
        <v/>
      </c>
      <c r="V41" s="55" t="str">
        <f>IF(AND('Mapa final'!$AL$75="Media",'Mapa final'!$AN$75="Menor"),CONCATENATE("R2C",'Mapa final'!$U$75),"")</f>
        <v/>
      </c>
      <c r="W41" s="53" t="str">
        <f>IF(AND('Mapa final'!$AL$69="Media",'Mapa final'!$AN$69="Moderado"),CONCATENATE("R2C",'Mapa final'!$U$69),"")</f>
        <v/>
      </c>
      <c r="X41" s="54" t="str">
        <f>IF(AND('Mapa final'!$AL$70="Media",'Mapa final'!$AN$70="Moderado"),CONCATENATE("R2C",'Mapa final'!$U$70),"")</f>
        <v/>
      </c>
      <c r="Y41" s="54" t="str">
        <f>IF(AND('Mapa final'!$AL$71="Media",'Mapa final'!$AN$71="Moderado"),CONCATENATE("R2C",'Mapa final'!$U$71),"")</f>
        <v/>
      </c>
      <c r="Z41" s="54" t="str">
        <f>IF(AND('Mapa final'!$AL$72="Media",'Mapa final'!$AN$72="Moderado"),CONCATENATE("R2C",'Mapa final'!$U$72),"")</f>
        <v/>
      </c>
      <c r="AA41" s="54" t="str">
        <f>IF(AND('Mapa final'!$AL$74="Media",'Mapa final'!$AN$74="Moderado"),CONCATENATE("R2C",'Mapa final'!$U$74),"")</f>
        <v/>
      </c>
      <c r="AB41" s="55" t="str">
        <f>IF(AND('Mapa final'!$AL$75="Media",'Mapa final'!$AN$75="Moderado"),CONCATENATE("R2C",'Mapa final'!$U$75),"")</f>
        <v/>
      </c>
      <c r="AC41" s="38" t="str">
        <f>IF(AND('Mapa final'!$AL$69="Media",'Mapa final'!$AN$69="Mayor"),CONCATENATE("R2C",'Mapa final'!$U$69),"")</f>
        <v/>
      </c>
      <c r="AD41" s="39" t="str">
        <f>IF(AND('Mapa final'!$AL$70="Media",'Mapa final'!$AN$70="Mayor"),CONCATENATE("R2C",'Mapa final'!$U$70),"")</f>
        <v/>
      </c>
      <c r="AE41" s="39" t="str">
        <f>IF(AND('Mapa final'!$AL$71="Media",'Mapa final'!$AN$71="Mayor"),CONCATENATE("R2C",'Mapa final'!$U$71),"")</f>
        <v/>
      </c>
      <c r="AF41" s="39" t="str">
        <f>IF(AND('Mapa final'!$AL$72="Media",'Mapa final'!$AN$72="Mayor"),CONCATENATE("R2C",'Mapa final'!$U$72),"")</f>
        <v/>
      </c>
      <c r="AG41" s="39" t="str">
        <f>IF(AND('Mapa final'!$AL$74="Media",'Mapa final'!$AN$74="Mayor"),CONCATENATE("R2C",'Mapa final'!$U$74),"")</f>
        <v/>
      </c>
      <c r="AH41" s="40" t="str">
        <f>IF(AND('Mapa final'!$AL$75="Media",'Mapa final'!$AN$75="Mayor"),CONCATENATE("R2C",'Mapa final'!$U$75),"")</f>
        <v/>
      </c>
      <c r="AI41" s="47" t="str">
        <f>IF(AND('Mapa final'!$AL$69="Media",'Mapa final'!$AN$69="Catastrófico"),CONCATENATE("R2C",'Mapa final'!$U$69),"")</f>
        <v/>
      </c>
      <c r="AJ41" s="48" t="str">
        <f>IF(AND('Mapa final'!$AL$70="Media",'Mapa final'!$AN$70="Catastrófico"),CONCATENATE("R2C",'Mapa final'!$U$70),"")</f>
        <v/>
      </c>
      <c r="AK41" s="48" t="str">
        <f>IF(AND('Mapa final'!$AL$71="Media",'Mapa final'!$AN$71="Catastrófico"),CONCATENATE("R2C",'Mapa final'!$U$71),"")</f>
        <v/>
      </c>
      <c r="AL41" s="48" t="str">
        <f>IF(AND('Mapa final'!$AL$72="Media",'Mapa final'!$AN$72="Catastrófico"),CONCATENATE("R2C",'Mapa final'!$U$72),"")</f>
        <v/>
      </c>
      <c r="AM41" s="48" t="str">
        <f>IF(AND('Mapa final'!$AL$74="Media",'Mapa final'!$AN$74="Catastrófico"),CONCATENATE("R2C",'Mapa final'!$U$74),"")</f>
        <v/>
      </c>
      <c r="AN41" s="49" t="str">
        <f>IF(AND('Mapa final'!$AL$75="Muy Alta",'Mapa final'!$AN$75="Catastrófico"),CONCATENATE("R2C",'Mapa final'!$U$75),"")</f>
        <v/>
      </c>
      <c r="AO41" s="69"/>
      <c r="AP41" s="544"/>
      <c r="AQ41" s="545"/>
      <c r="AR41" s="545"/>
      <c r="AS41" s="545"/>
      <c r="AT41" s="545"/>
      <c r="AU41" s="546"/>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c r="B42" s="69"/>
      <c r="C42" s="409"/>
      <c r="D42" s="409"/>
      <c r="E42" s="410"/>
      <c r="F42" s="498" t="s">
        <v>285</v>
      </c>
      <c r="G42" s="499"/>
      <c r="H42" s="499"/>
      <c r="I42" s="499"/>
      <c r="J42" s="499"/>
      <c r="K42" s="59" t="str">
        <f>IF(AND('Mapa final'!$AL$15="Baja",'Mapa final'!$AN$15="Leve"),CONCATENATE("R2C",'Mapa final'!$D$15),"")</f>
        <v>R2C1</v>
      </c>
      <c r="L42" s="60" t="str">
        <f>IF(AND('Mapa final'!$AL$34="Baja",'Mapa final'!$AN$34="Leve"),CONCATENATE("R2C",'Mapa final'!$U$34),"")</f>
        <v/>
      </c>
      <c r="M42" s="60" t="str">
        <f>IF(AND('Mapa final'!$AL$17="Baja",'Mapa final'!$AN$17="Leve"),CONCATENATE("R2C",'Mapa final'!$D$17),"")</f>
        <v>R2C2</v>
      </c>
      <c r="N42" s="60" t="str">
        <f>IF(AND('Mapa final'!$AL$19="Baja",'Mapa final'!$AN$19="Leve"),CONCATENATE("R2C",'Mapa final'!$D$19),"")</f>
        <v/>
      </c>
      <c r="O42" s="60" t="str">
        <f>IF(AND('Mapa final'!$AL$37="Baja",'Mapa final'!$AN$37="Leve"),CONCATENATE("R2C",'Mapa final'!$U$37),"")</f>
        <v/>
      </c>
      <c r="P42" s="61" t="str">
        <f>IF(AND('Mapa final'!$AL$18="Baja",'Mapa final'!$AN$18="Leve"),CONCATENATE("R2C",'Mapa final'!$D$18),"")</f>
        <v>R2C3</v>
      </c>
      <c r="Q42" s="50" t="str">
        <f>IF(AND('Mapa final'!$AL$15="Baja",'Mapa final'!$AN$15="Menor"),CONCATENATE("R2C",'Mapa final'!$U$15),"")</f>
        <v/>
      </c>
      <c r="R42" s="51" t="str">
        <f>IF(AND('Mapa final'!$AL$16="Baja",'Mapa final'!$AN$16="Menore"),CONCATENATE("R2C",'Mapa final'!$U$16),"")</f>
        <v/>
      </c>
      <c r="S42" s="51" t="str">
        <f>IF(AND('Mapa final'!$AL$35="Baja",'Mapa final'!$AN$35="Menor"),CONCATENATE("R2C",'Mapa final'!$U$35),"")</f>
        <v/>
      </c>
      <c r="T42" s="51" t="str">
        <f>IF(AND('Mapa final'!$AL$36="Baja",'Mapa final'!$AN$36="Menor"),CONCATENATE("R2C",'Mapa final'!$U$36),"")</f>
        <v/>
      </c>
      <c r="U42" s="51" t="str">
        <f>IF(AND('Mapa final'!$AL$37="Baja",'Mapa final'!$AN$37="LMenor"),CONCATENATE("R2C",'Mapa final'!$U$37),"")</f>
        <v/>
      </c>
      <c r="V42" s="52" t="str">
        <f>IF(AND('Mapa final'!$AL$18="Baja",'Mapa final'!$AN$18="Menor"),CONCATENATE("R2C",'Mapa final'!$U$18),"")</f>
        <v/>
      </c>
      <c r="W42" s="50" t="str">
        <f>IF(AND('Mapa final'!$AL$15="Baja",'Mapa final'!$AN$15="Moderado"),CONCATENATE("R2C",'Mapa final'!$U$15),"")</f>
        <v/>
      </c>
      <c r="X42" s="51" t="str">
        <f>IF(AND('Mapa final'!$AL$16="Baja",'Mapa final'!$AN$16="Moderado"),CONCATENATE("R2C",'Mapa final'!$U$16),"")</f>
        <v/>
      </c>
      <c r="Y42" s="51"/>
      <c r="Z42" s="51" t="str">
        <f>IF(AND('Mapa final'!$AL$17="Baja",'Mapa final'!$AN$17="Moderado"),CONCATENATE("R2C",'Mapa final'!$U$17),"")</f>
        <v/>
      </c>
      <c r="AA42" s="51" t="str">
        <f>IF(AND('Mapa final'!$AL$31="Baja",'Mapa final'!$AN$31="Moderado"),CONCATENATE("R2C",'Mapa final'!$U$31),"")</f>
        <v/>
      </c>
      <c r="AB42" s="52" t="str">
        <f>IF(AND('Mapa final'!$AL$18="Baja",'Mapa final'!$AN$18="Moderado"),CONCATENATE("R2C",'Mapa final'!$U$18),"")</f>
        <v/>
      </c>
      <c r="AC42" s="32" t="str">
        <f>IF(AND('Mapa final'!$AL$15="Baja",'Mapa final'!$AN$15="Mayor"),CONCATENATE("R2C",'Mapa final'!$D$15),"")</f>
        <v/>
      </c>
      <c r="AD42" s="33" t="str">
        <f>IF(AND('Mapa final'!$AL$16="Baja",'Mapa final'!$AN$16="Mayor"),CONCATENATE("R2C",'Mapa final'!$U$16),"")</f>
        <v/>
      </c>
      <c r="AE42" s="33" t="str">
        <f>IF(AND('Mapa final'!$AL$23="Baja",'Mapa final'!$AN$23="Mayor"),CONCATENATE("R2C",'Mapa final'!$U$23),"")</f>
        <v/>
      </c>
      <c r="AF42" s="33" t="str">
        <f>IF(AND('Mapa final'!$AL$23="Baja",'Mapa final'!$AN$23="Mayor"),CONCATENATE("R2C",'Mapa final'!$U$23),"")</f>
        <v/>
      </c>
      <c r="AG42" s="33" t="str">
        <f>IF(AND('Mapa final'!$AL$23="Baja",'Mapa final'!$AN$23="Mayor"),CONCATENATE("R2C",'Mapa final'!$U$23),"")</f>
        <v/>
      </c>
      <c r="AH42" s="34" t="str">
        <f>IF(AND('Mapa final'!$AL$18="Baja",'Mapa final'!$AN$18="Mayor"),CONCATENATE("R2C",'Mapa final'!$U$18),"")</f>
        <v/>
      </c>
      <c r="AI42" s="35" t="str">
        <f>IF(AND('Mapa final'!$AL$15="Baja",'Mapa final'!$AN$15="Catastrófico"),CONCATENATE("R2C",'Mapa final'!$U$15),"")</f>
        <v/>
      </c>
      <c r="AJ42" s="36" t="str">
        <f>IF(AND('Mapa final'!$AL$16="Baja",'Mapa final'!$AN$16="Catastrófico"),CONCATENATE("R2C",'Mapa final'!$U$16),"")</f>
        <v/>
      </c>
      <c r="AK42" s="42" t="str">
        <f>IF(AND('Mapa final'!$AL$29="Baja",'Mapa final'!$AN$29="Catastrófico"),CONCATENATE("R2C",'Mapa final'!$U$29),"")</f>
        <v/>
      </c>
      <c r="AL42" s="42" t="str">
        <f>IF(AND('Mapa final'!$AL$30="Baja",'Mapa final'!$AN$30="Catastrófico"),CONCATENATE("R2C",'Mapa final'!$U$30),"")</f>
        <v/>
      </c>
      <c r="AM42" s="42" t="str">
        <f>IF(AND('Mapa final'!$AL$31="Baja",'Mapa final'!$AN$31="Catastrófico"),CONCATENATE("R2C",'Mapa final'!$U$31),"")</f>
        <v/>
      </c>
      <c r="AN42" s="37" t="str">
        <f>IF(AND('Mapa final'!$AL$18="Baja",'Mapa final'!$AN$18="Catastrófico"),CONCATENATE("R2C",'Mapa final'!$U$18),"")</f>
        <v/>
      </c>
      <c r="AO42" s="69"/>
      <c r="AP42" s="529" t="s">
        <v>286</v>
      </c>
      <c r="AQ42" s="530"/>
      <c r="AR42" s="530"/>
      <c r="AS42" s="530"/>
      <c r="AT42" s="530"/>
      <c r="AU42" s="531"/>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c r="B43" s="69"/>
      <c r="C43" s="409"/>
      <c r="D43" s="409"/>
      <c r="E43" s="410"/>
      <c r="F43" s="516"/>
      <c r="G43" s="502"/>
      <c r="H43" s="502"/>
      <c r="I43" s="502"/>
      <c r="J43" s="502"/>
      <c r="K43" s="62" t="str">
        <f>IF(AND('Mapa final'!$AL$21="Baja",'Mapa final'!$AN$21="Leve"),CONCATENATE("R2C",'Mapa final'!$U$21),"")</f>
        <v/>
      </c>
      <c r="L43" s="63" t="str">
        <f>IF(AND('Mapa final'!$AL$34="Baja",'Mapa final'!$AN$34="Leve"),CONCATENATE("R2C",'Mapa final'!$U$34),"")</f>
        <v/>
      </c>
      <c r="M43" s="63" t="str">
        <f>IF(AND('Mapa final'!$AL$23="Baja",'Mapa final'!$AN$23="Leve"),CONCATENATE("R2C",'Mapa final'!$U$23),"")</f>
        <v/>
      </c>
      <c r="N43" s="63" t="str">
        <f>IF(AND('Mapa final'!$AL$24="Baja",'Mapa final'!$AN$24="Leve"),CONCATENATE("R2C",'Mapa final'!$U$24),"")</f>
        <v/>
      </c>
      <c r="O43" s="63" t="str">
        <f>IF(AND('Mapa final'!$AL$37="Baja",'Mapa final'!$AN$37="Leve"),CONCATENATE("R2C",'Mapa final'!$U$37),"")</f>
        <v/>
      </c>
      <c r="P43" s="64" t="str">
        <f>IF(AND('Mapa final'!$AL$26="Baja",'Mapa final'!$AN$26="Leve"),CONCATENATE("R2C",'Mapa final'!$U$26),"")</f>
        <v/>
      </c>
      <c r="Q43" s="53" t="str">
        <f>IF(AND('Mapa final'!$AL$21="Baja",'Mapa final'!$AN$21="Menor"),CONCATENATE("R2C",'Mapa final'!$U$21),"")</f>
        <v/>
      </c>
      <c r="R43" s="54" t="str">
        <f>IF(AND('Mapa final'!$AL$22="Baja",'Mapa final'!$AN$22="Menor"),CONCATENATE("R2C",'Mapa final'!$U$22),"")</f>
        <v/>
      </c>
      <c r="S43" s="54" t="str">
        <f>IF(AND('Mapa final'!$AL$35="Baja",'Mapa final'!$AN$35="Menor"),CONCATENATE("R2C",'Mapa final'!$U$35),"")</f>
        <v/>
      </c>
      <c r="T43" s="54" t="str">
        <f>IF(AND('Mapa final'!$AL$36="Baja",'Mapa final'!$AN$36="Menor"),CONCATENATE("R2C",'Mapa final'!$U$36),"")</f>
        <v/>
      </c>
      <c r="U43" s="54" t="str">
        <f>IF(AND('Mapa final'!$AL$37="Baja",'Mapa final'!$AN$37="LMenor"),CONCATENATE("R2C",'Mapa final'!$U$37),"")</f>
        <v/>
      </c>
      <c r="V43" s="55" t="str">
        <f>IF(AND('Mapa final'!$AL$26="Baja",'Mapa final'!$AN$26="Menor"),CONCATENATE("R2C",'Mapa final'!$U$26),"")</f>
        <v/>
      </c>
      <c r="W43" s="53" t="str">
        <f>IF(AND('Mapa final'!$AL$21="Baja",'Mapa final'!$AN$21="Moderado"),CONCATENATE("R2C",'Mapa final'!$U$21),"")</f>
        <v/>
      </c>
      <c r="X43" s="54" t="str">
        <f>IF(AND('Mapa final'!$AL$22="Baja",'Mapa final'!$AN$22="Moderado"),CONCATENATE("R2C",'Mapa final'!$U$22),"")</f>
        <v/>
      </c>
      <c r="Y43" s="54" t="str">
        <f>IF(AND('Mapa final'!$AL$23="Baja",'Mapa final'!$AN$23="Moderado"),CONCATENATE("R2C",'Mapa final'!$U$23),"")</f>
        <v/>
      </c>
      <c r="Z43" s="54" t="str">
        <f>IF(AND('Mapa final'!$AL$24="Baja",'Mapa final'!$AN$24="Moderado"),CONCATENATE("R2C",'Mapa final'!$U$24),"")</f>
        <v/>
      </c>
      <c r="AA43" s="54" t="str">
        <f>IF(AND('Mapa final'!$AL$31="Baja",'Mapa final'!$AN$31="Moderado"),CONCATENATE("R2C",'Mapa final'!$U$31),"")</f>
        <v/>
      </c>
      <c r="AB43" s="55" t="str">
        <f>IF(AND('Mapa final'!$AL$26="Baja",'Mapa final'!$AN$26="Moderado"),CONCATENATE("R2C",'Mapa final'!$U$26),"")</f>
        <v/>
      </c>
      <c r="AC43" s="38" t="str">
        <f>IF(AND('Mapa final'!$AL$21="Baja",'Mapa final'!$AN$21="Mayor"),CONCATENATE("R2C",'Mapa final'!$U$21),"")</f>
        <v/>
      </c>
      <c r="AD43" s="39" t="str">
        <f>IF(AND('Mapa final'!$AL$22="Baja",'Mapa final'!$AN$22="Mayor"),CONCATENATE("R2C",'Mapa final'!$U$22),"")</f>
        <v/>
      </c>
      <c r="AE43" s="39" t="str">
        <f>IF(AND('Mapa final'!$AL$23="Baja",'Mapa final'!$AN$23="Mayor"),CONCATENATE("R2C",'Mapa final'!$U$23),"")</f>
        <v/>
      </c>
      <c r="AF43" s="39" t="str">
        <f>IF(AND('Mapa final'!$AL$23="Baja",'Mapa final'!$AN$23="Mayor"),CONCATENATE("R2C",'Mapa final'!$U$23),"")</f>
        <v/>
      </c>
      <c r="AG43" s="39" t="str">
        <f>IF(AND('Mapa final'!$AL$23="Baja",'Mapa final'!$AN$23="Mayor"),CONCATENATE("R2C",'Mapa final'!$U$23),"")</f>
        <v/>
      </c>
      <c r="AH43" s="40" t="str">
        <f>IF(AND('Mapa final'!$AL$26="Baja",'Mapa final'!$AN$26="Mayor"),CONCATENATE("R2C",'Mapa final'!$U$26),"")</f>
        <v/>
      </c>
      <c r="AI43" s="41" t="str">
        <f>IF(AND('Mapa final'!$AL$21="Baja",'Mapa final'!$AN$21="Catastrófico"),CONCATENATE("R2C",'Mapa final'!$U$21),"")</f>
        <v/>
      </c>
      <c r="AJ43" s="42" t="str">
        <f>IF(AND('Mapa final'!$AL$22="Baja",'Mapa final'!$AN$22="Catastrófico"),CONCATENATE("R2C",'Mapa final'!$U$22),"")</f>
        <v/>
      </c>
      <c r="AK43" s="42" t="str">
        <f>IF(AND('Mapa final'!$AL$23="Baja",'Mapa final'!$AN$23="Catastrófico"),CONCATENATE("R2C",'Mapa final'!$U$23),"")</f>
        <v/>
      </c>
      <c r="AL43" s="42" t="str">
        <f>IF(AND('Mapa final'!$AL$24="Baja",'Mapa final'!$AN$24="Catastrófico"),CONCATENATE("R2C",'Mapa final'!$U$24),"")</f>
        <v/>
      </c>
      <c r="AM43" s="42" t="str">
        <f>IF(AND('Mapa final'!$AL$25="Baja",'Mapa final'!$AN$25="Catastrófico"),CONCATENATE("R2C",'Mapa final'!$U$25),"")</f>
        <v/>
      </c>
      <c r="AN43" s="43" t="str">
        <f>IF(AND('Mapa final'!$AL$26="Baja",'Mapa final'!$AN$26="Catastrófico"),CONCATENATE("R2C",'Mapa final'!$U$26),"")</f>
        <v/>
      </c>
      <c r="AO43" s="69"/>
      <c r="AP43" s="532"/>
      <c r="AQ43" s="533"/>
      <c r="AR43" s="533"/>
      <c r="AS43" s="533"/>
      <c r="AT43" s="533"/>
      <c r="AU43" s="534"/>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c r="B44" s="69"/>
      <c r="C44" s="409"/>
      <c r="D44" s="409"/>
      <c r="E44" s="410"/>
      <c r="F44" s="501"/>
      <c r="G44" s="502"/>
      <c r="H44" s="502"/>
      <c r="I44" s="502"/>
      <c r="J44" s="502"/>
      <c r="K44" s="62" t="str">
        <f>IF(AND('Mapa final'!$AL$27="Baja",'Mapa final'!$AN$27="Leve"),CONCATENATE("R2C",'Mapa final'!$U$27),"")</f>
        <v/>
      </c>
      <c r="L44" s="63" t="str">
        <f>IF(AND('Mapa final'!$AL$34="Baja",'Mapa final'!$AN$34="Leve"),CONCATENATE("R2C",'Mapa final'!$U$34),"")</f>
        <v/>
      </c>
      <c r="M44" s="63" t="str">
        <f>IF(AND('Mapa final'!$AL$29="Baja",'Mapa final'!$AN$29="Leve"),CONCATENATE("R2C",'Mapa final'!$U$29),"")</f>
        <v/>
      </c>
      <c r="N44" s="63" t="str">
        <f>IF(AND('Mapa final'!$AL$30="Baja",'Mapa final'!$AN$30="Leve"),CONCATENATE("R2C",'Mapa final'!$U$30),"")</f>
        <v/>
      </c>
      <c r="O44" s="63" t="str">
        <f>IF(AND('Mapa final'!$AL$37="Baja",'Mapa final'!$AN$37="Leve"),CONCATENATE("R2C",'Mapa final'!$U$37),"")</f>
        <v/>
      </c>
      <c r="P44" s="64" t="str">
        <f>IF(AND('Mapa final'!$AL$32="Baja",'Mapa final'!$AN$32="Leve"),CONCATENATE("R2C",'Mapa final'!$U$32),"")</f>
        <v/>
      </c>
      <c r="Q44" s="53" t="str">
        <f>IF(AND('Mapa final'!$AL$27="Baja",'Mapa final'!$AN$27="Menor"),CONCATENATE("R2C",'Mapa final'!$U$27),"")</f>
        <v/>
      </c>
      <c r="R44" s="54" t="str">
        <f>IF(AND('Mapa final'!$AL$28="Baja",'Mapa final'!$AN$28="Menor"),CONCATENATE("R2C",'Mapa final'!$U$28),"")</f>
        <v/>
      </c>
      <c r="S44" s="54" t="str">
        <f>IF(AND('Mapa final'!$AL$35="Baja",'Mapa final'!$AN$35="Menor"),CONCATENATE("R2C",'Mapa final'!$U$35),"")</f>
        <v/>
      </c>
      <c r="T44" s="54" t="str">
        <f>IF(AND('Mapa final'!$AL$36="Baja",'Mapa final'!$AN$36="Menor"),CONCATENATE("R2C",'Mapa final'!$U$36),"")</f>
        <v/>
      </c>
      <c r="U44" s="54" t="str">
        <f>IF(AND('Mapa final'!$AL$37="Baja",'Mapa final'!$AN$37="LMenor"),CONCATENATE("R2C",'Mapa final'!$U$37),"")</f>
        <v/>
      </c>
      <c r="V44" s="55" t="str">
        <f>IF(AND('Mapa final'!$AL$32="Baja",'Mapa final'!$AN$32="Menor"),CONCATENATE("R2C",'Mapa final'!$U$32),"")</f>
        <v/>
      </c>
      <c r="W44" s="53" t="str">
        <f>IF(AND('Mapa final'!$AL$27="Baja",'Mapa final'!$AN$27="Moderado"),CONCATENATE("R2C",'Mapa final'!$U$27),"")</f>
        <v/>
      </c>
      <c r="X44" s="54" t="str">
        <f>IF(AND('Mapa final'!$AL$28="Baja",'Mapa final'!$AN$28="Moderado"),CONCATENATE("R2C",'Mapa final'!$U$28),"")</f>
        <v/>
      </c>
      <c r="Y44" s="54" t="str">
        <f>IF(AND('Mapa final'!$AL$29="Baja",'Mapa final'!$AN$29="Moderado"),CONCATENATE("R2C",'Mapa final'!$U$29),"")</f>
        <v/>
      </c>
      <c r="Z44" s="54" t="str">
        <f>IF(AND('Mapa final'!$AL$30="Baja",'Mapa final'!$AN$30="Moderado"),CONCATENATE("R2C",'Mapa final'!$U$30),"")</f>
        <v/>
      </c>
      <c r="AA44" s="54" t="str">
        <f>IF(AND('Mapa final'!$AL$31="Baja",'Mapa final'!$AN$31="Moderado"),CONCATENATE("R2C",'Mapa final'!$U$31),"")</f>
        <v/>
      </c>
      <c r="AB44" s="55" t="str">
        <f>IF(AND('Mapa final'!$AL$32="Baja",'Mapa final'!$AN$32="Moderado"),CONCATENATE("R2C",'Mapa final'!$U$32),"")</f>
        <v/>
      </c>
      <c r="AC44" s="38" t="str">
        <f>IF(AND('Mapa final'!$AL$27="Baja",'Mapa final'!$AN$27="Mayor"),CONCATENATE("R2C",'Mapa final'!$U$27),"")</f>
        <v/>
      </c>
      <c r="AD44" s="39" t="str">
        <f>IF(AND('Mapa final'!$AL$28="Baja",'Mapa final'!$AN$28="Mayor"),CONCATENATE("R2C",'Mapa final'!$U$28),"")</f>
        <v/>
      </c>
      <c r="AE44" s="39" t="str">
        <f>IF(AND('Mapa final'!$AL$29="Baja",'Mapa final'!$AN$29="Mayor"),CONCATENATE("R2C",'Mapa final'!$U$29),"")</f>
        <v/>
      </c>
      <c r="AF44" s="39" t="str">
        <f>IF(AND('Mapa final'!$AL$30="Baja",'Mapa final'!$AN$30="Mayor"),CONCATENATE("R2C",'Mapa final'!$U$30),"")</f>
        <v/>
      </c>
      <c r="AG44" s="39" t="str">
        <f>IF(AND('Mapa final'!$AL$31="Baja",'Mapa final'!$AN$31="Mayor"),CONCATENATE("R2C",'Mapa final'!$U$31),"")</f>
        <v/>
      </c>
      <c r="AH44" s="40" t="str">
        <f>IF(AND('Mapa final'!$AL$32="Baja",'Mapa final'!$AN$32="Mayor"),CONCATENATE("R2C",'Mapa final'!$U$32),"")</f>
        <v/>
      </c>
      <c r="AI44" s="41" t="str">
        <f>IF(AND('Mapa final'!$AL$27="Baja",'Mapa final'!$AN$27="Catastrófico"),CONCATENATE("R2C",'Mapa final'!$U$27),"")</f>
        <v/>
      </c>
      <c r="AJ44" s="42" t="str">
        <f>IF(AND('Mapa final'!$AL$28="Baja",'Mapa final'!$AN$28="Catastrófico"),CONCATENATE("R2C",'Mapa final'!$U$28),"")</f>
        <v/>
      </c>
      <c r="AK44" s="42" t="str">
        <f>IF(AND('Mapa final'!$AL$29="Baja",'Mapa final'!$AN$29="Catastrófico"),CONCATENATE("R2C",'Mapa final'!$U$29),"")</f>
        <v/>
      </c>
      <c r="AL44" s="42" t="str">
        <f>IF(AND('Mapa final'!$AL$30="Baja",'Mapa final'!$AN$30="Catastrófico"),CONCATENATE("R2C",'Mapa final'!$U$30),"")</f>
        <v/>
      </c>
      <c r="AM44" s="42" t="str">
        <f>IF(AND('Mapa final'!$AL$31="Baja",'Mapa final'!$AN$31="Catastrófico"),CONCATENATE("R2C",'Mapa final'!$U$31),"")</f>
        <v/>
      </c>
      <c r="AN44" s="43" t="str">
        <f>IF(AND('Mapa final'!$AL$32="Baja",'Mapa final'!$AN$32="Catastrófico"),CONCATENATE("R2C",'Mapa final'!$U$32),"")</f>
        <v/>
      </c>
      <c r="AO44" s="69"/>
      <c r="AP44" s="532"/>
      <c r="AQ44" s="533"/>
      <c r="AR44" s="533"/>
      <c r="AS44" s="533"/>
      <c r="AT44" s="533"/>
      <c r="AU44" s="534"/>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c r="B45" s="69"/>
      <c r="C45" s="409"/>
      <c r="D45" s="409"/>
      <c r="E45" s="410"/>
      <c r="F45" s="501"/>
      <c r="G45" s="502"/>
      <c r="H45" s="502"/>
      <c r="I45" s="502"/>
      <c r="J45" s="502"/>
      <c r="K45" s="62" t="str">
        <f>IF(AND('Mapa final'!$AL$33="Baja",'Mapa final'!$AN$33="Leve"),CONCATENATE("R2C",'Mapa final'!$U$33),"")</f>
        <v/>
      </c>
      <c r="L45" s="63" t="str">
        <f>IF(AND('Mapa final'!$AL$34="Baja",'Mapa final'!$AN$34="Leve"),CONCATENATE("R2C",'Mapa final'!$U$34),"")</f>
        <v/>
      </c>
      <c r="M45" s="63" t="str">
        <f>IF(AND('Mapa final'!$AL$35="Baja",'Mapa final'!$AN$35="Leve"),CONCATENATE("R2C",'Mapa final'!$U$35),"")</f>
        <v/>
      </c>
      <c r="N45" s="63" t="str">
        <f>IF(AND('Mapa final'!$AL$36="Baja",'Mapa final'!$AN$36="Leve"),CONCATENATE("R2C",'Mapa final'!$U$36),"")</f>
        <v/>
      </c>
      <c r="O45" s="63" t="str">
        <f>IF(AND('Mapa final'!$AL$37="Baja",'Mapa final'!$AN$37="Leve"),CONCATENATE("R2C",'Mapa final'!$U$37),"")</f>
        <v/>
      </c>
      <c r="P45" s="64" t="str">
        <f>IF(AND('Mapa final'!$AL$38="Baja",'Mapa final'!$AN$38="Leve"),CONCATENATE("R2C",'Mapa final'!$U$38),"")</f>
        <v/>
      </c>
      <c r="Q45" s="53" t="str">
        <f>IF(AND('Mapa final'!$AL$33="Baja",'Mapa final'!$AN$33="Menor"),CONCATENATE("R2C",'Mapa final'!$U$33),"")</f>
        <v/>
      </c>
      <c r="R45" s="54" t="str">
        <f>IF(AND('Mapa final'!$AL$34="Baja",'Mapa final'!$AN$34="Menor"),CONCATENATE("R2C",'Mapa final'!$U$34),"")</f>
        <v/>
      </c>
      <c r="S45" s="54" t="str">
        <f>IF(AND('Mapa final'!$AL$35="Baja",'Mapa final'!$AN$35="Menor"),CONCATENATE("R2C",'Mapa final'!$U$35),"")</f>
        <v/>
      </c>
      <c r="T45" s="54" t="str">
        <f>IF(AND('Mapa final'!$AL$36="Baja",'Mapa final'!$AN$36="Menor"),CONCATENATE("R2C",'Mapa final'!$U$36),"")</f>
        <v/>
      </c>
      <c r="U45" s="54" t="str">
        <f>IF(AND('Mapa final'!$AL$37="Baja",'Mapa final'!$AN$37="LMenor"),CONCATENATE("R2C",'Mapa final'!$U$37),"")</f>
        <v/>
      </c>
      <c r="V45" s="55" t="str">
        <f>IF(AND('Mapa final'!$AL$38="Baja",'Mapa final'!$AN$38="Menor"),CONCATENATE("R2C",'Mapa final'!$U$38),"")</f>
        <v/>
      </c>
      <c r="W45" s="53" t="str">
        <f>IF(AND('Mapa final'!$AL$33="Baja",'Mapa final'!$AN$33="Moderado"),CONCATENATE("R2C",'Mapa final'!$U$33),"")</f>
        <v/>
      </c>
      <c r="X45" s="54" t="str">
        <f>IF(AND('Mapa final'!$AL$34="Baja",'Mapa final'!$AN$34="Moderado"),CONCATENATE("R2C",'Mapa final'!$U$34),"")</f>
        <v/>
      </c>
      <c r="Y45" s="54" t="str">
        <f>IF(AND('Mapa final'!$AL$35="Baja",'Mapa final'!$AN$35="Moderado"),CONCATENATE("R2C",'Mapa final'!$U$35),"")</f>
        <v/>
      </c>
      <c r="Z45" s="54" t="str">
        <f>IF(AND('Mapa final'!$AL$36="Baja",'Mapa final'!$AN$36="Moderado"),CONCATENATE("R2C",'Mapa final'!$U$36),"")</f>
        <v/>
      </c>
      <c r="AA45" s="54" t="str">
        <f>IF(AND('Mapa final'!$AL$37="Baja",'Mapa final'!$AN$37="Moderado"),CONCATENATE("R2C",'Mapa final'!$U$37),"")</f>
        <v/>
      </c>
      <c r="AB45" s="55" t="str">
        <f>IF(AND('Mapa final'!$AL$38="Baja",'Mapa final'!$AN$38="Moderado"),CONCATENATE("R2C",'Mapa final'!$U$38),"")</f>
        <v/>
      </c>
      <c r="AC45" s="38" t="str">
        <f>IF(AND('Mapa final'!$AL$33="Baja",'Mapa final'!$AN$33="Mayor"),CONCATENATE("R2C",'Mapa final'!$U$33),"")</f>
        <v/>
      </c>
      <c r="AD45" s="39" t="str">
        <f>IF(AND('Mapa final'!$AL$34="Baja",'Mapa final'!$AN$34="Mayor"),CONCATENATE("R2C",'Mapa final'!$U$34),"")</f>
        <v/>
      </c>
      <c r="AE45" s="39" t="str">
        <f>IF(AND('Mapa final'!$AL$35="Baja",'Mapa final'!$AN$35="Mayor"),CONCATENATE("R2C",'Mapa final'!$U$35),"")</f>
        <v/>
      </c>
      <c r="AF45" s="39" t="str">
        <f>IF(AND('Mapa final'!$AL$36="Baja",'Mapa final'!$AN$36="Mayor"),CONCATENATE("R2C",'Mapa final'!$U$36),"")</f>
        <v/>
      </c>
      <c r="AG45" s="39" t="str">
        <f>IF(AND('Mapa final'!$AL$37="Baja",'Mapa final'!$AN$37="Mayor"),CONCATENATE("R2C",'Mapa final'!$U$37),"")</f>
        <v/>
      </c>
      <c r="AH45" s="40" t="str">
        <f>IF(AND('Mapa final'!$AL$38="Baja",'Mapa final'!$AN$38="Mayor"),CONCATENATE("R2C",'Mapa final'!$U$38),"")</f>
        <v/>
      </c>
      <c r="AI45" s="41" t="str">
        <f>IF(AND('Mapa final'!$AL$33="Baja",'Mapa final'!$AN$33="Catastrófico"),CONCATENATE("R2C",'Mapa final'!$U$33),"")</f>
        <v/>
      </c>
      <c r="AJ45" s="42" t="str">
        <f>IF(AND('Mapa final'!$AL$34="Baja",'Mapa final'!$AN$34="Catastrófico"),CONCATENATE("R2C",'Mapa final'!$U$34),"")</f>
        <v/>
      </c>
      <c r="AK45" s="42" t="str">
        <f>IF(AND('Mapa final'!$AL$35="Baja",'Mapa final'!$AN$35="Catastrófico"),CONCATENATE("R2C",'Mapa final'!$U$35),"")</f>
        <v/>
      </c>
      <c r="AL45" s="42" t="str">
        <f>IF(AND('Mapa final'!$AL$36="Baja",'Mapa final'!$AN$36="Catastrófico"),CONCATENATE("R2C",'Mapa final'!$U$36),"")</f>
        <v/>
      </c>
      <c r="AM45" s="42" t="str">
        <f>IF(AND('Mapa final'!$AL$37="Baja",'Mapa final'!$AN$37="LCatastrófico"),CONCATENATE("R2C",'Mapa final'!$U$37),"")</f>
        <v/>
      </c>
      <c r="AN45" s="43" t="str">
        <f>IF(AND('Mapa final'!$AL$38="Baja",'Mapa final'!$AN$38="Catastrófico"),CONCATENATE("R2C",'Mapa final'!$U$38),"")</f>
        <v/>
      </c>
      <c r="AO45" s="69"/>
      <c r="AP45" s="532"/>
      <c r="AQ45" s="533"/>
      <c r="AR45" s="533"/>
      <c r="AS45" s="533"/>
      <c r="AT45" s="533"/>
      <c r="AU45" s="534"/>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c r="B46" s="69"/>
      <c r="C46" s="409"/>
      <c r="D46" s="409"/>
      <c r="E46" s="410"/>
      <c r="F46" s="501"/>
      <c r="G46" s="502"/>
      <c r="H46" s="502"/>
      <c r="I46" s="502"/>
      <c r="J46" s="502"/>
      <c r="K46" s="62" t="str">
        <f>IF(AND('Mapa final'!$AL$39="Baja",'Mapa final'!$AN$39="Leve"),CONCATENATE("R2C",'Mapa final'!$U$39),"")</f>
        <v/>
      </c>
      <c r="L46" s="63" t="str">
        <f>IF(AND('Mapa final'!$AL$40="Baja",'Mapa final'!$AN$40="Leve"),CONCATENATE("R2C",'Mapa final'!$U$40),"")</f>
        <v/>
      </c>
      <c r="M46" s="63" t="str">
        <f>IF(AND('Mapa final'!$AL$41="Baja",'Mapa final'!$AN$41="Leve"),CONCATENATE("R2C",'Mapa final'!$U$41),"")</f>
        <v/>
      </c>
      <c r="N46" s="63" t="str">
        <f>IF(AND('Mapa final'!$AL$42="Baja",'Mapa final'!$AN$42="Leve"),CONCATENATE("R2C",'Mapa final'!$U$42),"")</f>
        <v/>
      </c>
      <c r="O46" s="63" t="str">
        <f>IF(AND('Mapa final'!$AL$43="Baja",'Mapa final'!$AN$43="Leve"),CONCATENATE("R2C",'Mapa final'!$U$43),"")</f>
        <v/>
      </c>
      <c r="P46" s="64" t="str">
        <f>IF(AND('Mapa final'!$AL$44="Baja",'Mapa final'!$AN$44="Leve"),CONCATENATE("R2C",'Mapa final'!$U$44),"")</f>
        <v/>
      </c>
      <c r="Q46" s="53" t="str">
        <f>IF(AND('Mapa final'!$AL$39="Baja",'Mapa final'!$AN$39="Menor"),CONCATENATE("R2C",'Mapa final'!$U$39),"")</f>
        <v/>
      </c>
      <c r="R46" s="54" t="str">
        <f>IF(AND('Mapa final'!$AL$40="Baja",'Mapa final'!$AN$40="Menor"),CONCATENATE("R2C",'Mapa final'!$U$40),"")</f>
        <v/>
      </c>
      <c r="S46" s="54" t="str">
        <f>IF(AND('Mapa final'!$AL$41="Baja",'Mapa final'!$AN$41="Menor"),CONCATENATE("R2C",'Mapa final'!$U$41),"")</f>
        <v/>
      </c>
      <c r="T46" s="54" t="str">
        <f>IF(AND('Mapa final'!$AL$42="Baja",'Mapa final'!$AN$42="Menor"),CONCATENATE("R2C",'Mapa final'!$U$42),"")</f>
        <v/>
      </c>
      <c r="U46" s="54" t="str">
        <f>IF(AND('Mapa final'!$AL$43="Baja",'Mapa final'!$AN$43="Menor"),CONCATENATE("R2C",'Mapa final'!$U$43),"")</f>
        <v/>
      </c>
      <c r="V46" s="55" t="str">
        <f>IF(AND('Mapa final'!$AL$44="Baja",'Mapa final'!$AN$44="Menor"),CONCATENATE("R2C",'Mapa final'!$U$44),"")</f>
        <v/>
      </c>
      <c r="W46" s="53" t="str">
        <f>IF(AND('Mapa final'!$AL$39="Baja",'Mapa final'!$AN$39="Moderado"),CONCATENATE("R2C",'Mapa final'!$U$39),"")</f>
        <v/>
      </c>
      <c r="X46" s="54" t="str">
        <f>IF(AND('Mapa final'!$AL$40="Baja",'Mapa final'!$AN$40="Moderado"),CONCATENATE("R2C",'Mapa final'!$U$40),"")</f>
        <v/>
      </c>
      <c r="Y46" s="54" t="str">
        <f>IF(AND('Mapa final'!$AL$41="Baja",'Mapa final'!$AN$41="Moderado"),CONCATENATE("R2C",'Mapa final'!$U$41),"")</f>
        <v/>
      </c>
      <c r="Z46" s="54" t="str">
        <f>IF(AND('Mapa final'!$AL$42="Baja",'Mapa final'!$AN$42="Moderado"),CONCATENATE("R2C",'Mapa final'!$U$42),"")</f>
        <v/>
      </c>
      <c r="AA46" s="54" t="str">
        <f>IF(AND('Mapa final'!$AL$43="Baja",'Mapa final'!$AN$43="Moderado"),CONCATENATE("R2C",'Mapa final'!$U$43),"")</f>
        <v/>
      </c>
      <c r="AB46" s="55" t="str">
        <f>IF(AND('Mapa final'!$AL$44="Baja",'Mapa final'!$AN$44="Moderado"),CONCATENATE("R2C",'Mapa final'!$U$44),"")</f>
        <v/>
      </c>
      <c r="AC46" s="38" t="str">
        <f>IF(AND('Mapa final'!$AL$39="Baja",'Mapa final'!$AN$39="Mayor"),CONCATENATE("R2C",'Mapa final'!$U$39),"")</f>
        <v/>
      </c>
      <c r="AD46" s="39" t="str">
        <f>IF(AND('Mapa final'!$AL$40="Baja",'Mapa final'!$AN$40="Mayor"),CONCATENATE("R2C",'Mapa final'!$U$40),"")</f>
        <v/>
      </c>
      <c r="AE46" s="39" t="str">
        <f>IF(AND('Mapa final'!$AL$41="Baja",'Mapa final'!$AN$41="Mayor"),CONCATENATE("R2C",'Mapa final'!$U$41),"")</f>
        <v/>
      </c>
      <c r="AF46" s="39" t="str">
        <f>IF(AND('Mapa final'!$AL$42="Baja",'Mapa final'!$AN$42="Mayor"),CONCATENATE("R2C",'Mapa final'!$U$42),"")</f>
        <v/>
      </c>
      <c r="AG46" s="39" t="str">
        <f>IF(AND('Mapa final'!$AL$43="Baja",'Mapa final'!$AN$43="Mayor"),CONCATENATE("R2C",'Mapa final'!$U$43),"")</f>
        <v/>
      </c>
      <c r="AH46" s="40" t="str">
        <f>IF(AND('Mapa final'!$AL$44="Baja",'Mapa final'!$AN$44="Mayor"),CONCATENATE("R2C",'Mapa final'!$U$44),"")</f>
        <v/>
      </c>
      <c r="AI46" s="41" t="str">
        <f>IF(AND('Mapa final'!$AL$39="Baja",'Mapa final'!$AN$39="Catastrófico"),CONCATENATE("R2C",'Mapa final'!$U$39),"")</f>
        <v/>
      </c>
      <c r="AJ46" s="42" t="str">
        <f>IF(AND('Mapa final'!$AL$40="Baja",'Mapa final'!$AN$40="Catastrófico"),CONCATENATE("R2C",'Mapa final'!$U$40),"")</f>
        <v/>
      </c>
      <c r="AK46" s="42" t="str">
        <f>IF(AND('Mapa final'!$AL$41="Baja",'Mapa final'!$AN$41="Catastrófico"),CONCATENATE("R2C",'Mapa final'!$U$41),"")</f>
        <v/>
      </c>
      <c r="AL46" s="42" t="str">
        <f>IF(AND('Mapa final'!$AL$42="Baja",'Mapa final'!$AN$42="Catastrófico"),CONCATENATE("R2C",'Mapa final'!$U$42),"")</f>
        <v/>
      </c>
      <c r="AM46" s="42" t="str">
        <f>IF(AND('Mapa final'!$AL$43="Baja",'Mapa final'!$AN$43="Catastrófico"),CONCATENATE("R2C",'Mapa final'!$U$43),"")</f>
        <v/>
      </c>
      <c r="AN46" s="43" t="str">
        <f>IF(AND('Mapa final'!$AL$44="Baja",'Mapa final'!$AN$44="Catastrófico"),CONCATENATE("R2C",'Mapa final'!$U$44),"")</f>
        <v/>
      </c>
      <c r="AO46" s="69"/>
      <c r="AP46" s="532"/>
      <c r="AQ46" s="533"/>
      <c r="AR46" s="533"/>
      <c r="AS46" s="533"/>
      <c r="AT46" s="533"/>
      <c r="AU46" s="534"/>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c r="B47" s="69"/>
      <c r="C47" s="409"/>
      <c r="D47" s="409"/>
      <c r="E47" s="410"/>
      <c r="F47" s="501"/>
      <c r="G47" s="502"/>
      <c r="H47" s="502"/>
      <c r="I47" s="502"/>
      <c r="J47" s="502"/>
      <c r="K47" s="62" t="str">
        <f>IF(AND('Mapa final'!$AL$45="Baja",'Mapa final'!$AN$45="Leve"),CONCATENATE("R2C",'Mapa final'!$U$45),"")</f>
        <v/>
      </c>
      <c r="L47" s="63" t="str">
        <f>IF(AND('Mapa final'!$AL$46="Baja",'Mapa final'!$AN$46="Leve"),CONCATENATE("R2C",'Mapa final'!$U$46),"")</f>
        <v/>
      </c>
      <c r="M47" s="63" t="str">
        <f>IF(AND('Mapa final'!$AL$47="Baja",'Mapa final'!$AN$47="Leve"),CONCATENATE("R2C",'Mapa final'!$U$47),"")</f>
        <v/>
      </c>
      <c r="N47" s="63" t="str">
        <f>IF(AND('Mapa final'!$AL$48="Baja",'Mapa final'!$AN$48="Leve"),CONCATENATE("R2C",'Mapa final'!$U$48),"")</f>
        <v/>
      </c>
      <c r="O47" s="63" t="str">
        <f>IF(AND('Mapa final'!$AL$49="Baja",'Mapa final'!$AN$49="Leve"),CONCATENATE("R2C",'Mapa final'!$U$49),"")</f>
        <v/>
      </c>
      <c r="P47" s="64" t="str">
        <f>IF(AND('Mapa final'!$AL$60="Baja",'Mapa final'!$AN$50="Leve"),CONCATENATE("R2C",'Mapa final'!$U$50),"")</f>
        <v/>
      </c>
      <c r="Q47" s="53" t="str">
        <f>IF(AND('Mapa final'!$AL$45="Baja",'Mapa final'!$AN$45="Menor"),CONCATENATE("R2C",'Mapa final'!$U$45),"")</f>
        <v/>
      </c>
      <c r="R47" s="54" t="str">
        <f>IF(AND('Mapa final'!$AL$46="Baja",'Mapa final'!$AN$46="Menor"),CONCATENATE("R2C",'Mapa final'!$U$46),"")</f>
        <v/>
      </c>
      <c r="S47" s="54" t="str">
        <f>IF(AND('Mapa final'!$AL$47="Baja",'Mapa final'!$AN$47="Menor"),CONCATENATE("R2C",'Mapa final'!$U$47),"")</f>
        <v/>
      </c>
      <c r="T47" s="54" t="str">
        <f>IF(AND('Mapa final'!$AL$48="Baja",'Mapa final'!$AN$48="Menor"),CONCATENATE("R2C",'Mapa final'!$U$48),"")</f>
        <v/>
      </c>
      <c r="U47" s="54" t="str">
        <f>IF(AND('Mapa final'!$AL$49="Baja",'Mapa final'!$AN$49="Menor"),CONCATENATE("R2C",'Mapa final'!$U$49),"")</f>
        <v/>
      </c>
      <c r="V47" s="55" t="str">
        <f>IF(AND('Mapa final'!$AL$60="Baja",'Mapa final'!$AN$50="Menor"),CONCATENATE("R2C",'Mapa final'!$U$50),"")</f>
        <v/>
      </c>
      <c r="W47" s="53" t="str">
        <f>IF(AND('Mapa final'!$AL$45="Baja",'Mapa final'!$AN$45="Moderado"),CONCATENATE("R2C",'Mapa final'!$U$45),"")</f>
        <v/>
      </c>
      <c r="X47" s="54" t="str">
        <f>IF(AND('Mapa final'!$AL$46="Baja",'Mapa final'!$AN$46="Moderado"),CONCATENATE("R2C",'Mapa final'!$U$46),"")</f>
        <v/>
      </c>
      <c r="Y47" s="54" t="str">
        <f>IF(AND('Mapa final'!$AL$47="Baja",'Mapa final'!$AN$47="Moderado"),CONCATENATE("R2C",'Mapa final'!$U$47),"")</f>
        <v/>
      </c>
      <c r="Z47" s="54" t="str">
        <f>IF(AND('Mapa final'!$AL$48="Baja",'Mapa final'!$AN$48="Moderado"),CONCATENATE("R2C",'Mapa final'!$U$48),"")</f>
        <v/>
      </c>
      <c r="AA47" s="54" t="str">
        <f>IF(AND('Mapa final'!$AL$49="Baja",'Mapa final'!$AN$49="Moderado"),CONCATENATE("R2C",'Mapa final'!$U$49),"")</f>
        <v/>
      </c>
      <c r="AB47" s="55" t="str">
        <f>IF(AND('Mapa final'!$AL$60="Baja",'Mapa final'!$AN$50="Moderado"),CONCATENATE("R2C",'Mapa final'!$U$50),"")</f>
        <v/>
      </c>
      <c r="AC47" s="38" t="str">
        <f>IF(AND('Mapa final'!$AL$45="Baja",'Mapa final'!$AN$45="Mayor"),CONCATENATE("R2C",'Mapa final'!$U$45),"")</f>
        <v/>
      </c>
      <c r="AD47" s="39" t="str">
        <f>IF(AND('Mapa final'!$AL$46="Baja",'Mapa final'!$AN$46="Mayor"),CONCATENATE("R2C",'Mapa final'!$U$46),"")</f>
        <v/>
      </c>
      <c r="AE47" s="39" t="str">
        <f>IF(AND('Mapa final'!$AL$47="Baja",'Mapa final'!$AN$47="Mayor"),CONCATENATE("R2C",'Mapa final'!$U$47),"")</f>
        <v/>
      </c>
      <c r="AF47" s="39" t="str">
        <f>IF(AND('Mapa final'!$AL$48="Baja",'Mapa final'!$AN$48="Mayor"),CONCATENATE("R2C",'Mapa final'!$U$48),"")</f>
        <v/>
      </c>
      <c r="AG47" s="39" t="str">
        <f>IF(AND('Mapa final'!$AL$49="Baja",'Mapa final'!$AN$49="Mayor"),CONCATENATE("R2C",'Mapa final'!$U$49),"")</f>
        <v/>
      </c>
      <c r="AH47" s="40" t="str">
        <f>IF(AND('Mapa final'!$AL$60="Baja",'Mapa final'!$AN$50="Mayor"),CONCATENATE("R2C",'Mapa final'!$U$50),"")</f>
        <v/>
      </c>
      <c r="AI47" s="41" t="str">
        <f>IF(AND('Mapa final'!$AL$45="Baja",'Mapa final'!$AN$45="Catastrófico"),CONCATENATE("R2C",'Mapa final'!$U$45),"")</f>
        <v/>
      </c>
      <c r="AJ47" s="42" t="str">
        <f>IF(AND('Mapa final'!$AL$46="Baja",'Mapa final'!$AN$46="Catastrófico"),CONCATENATE("R2C",'Mapa final'!$U$46),"")</f>
        <v/>
      </c>
      <c r="AK47" s="42" t="str">
        <f>IF(AND('Mapa final'!$AL$47="Baja",'Mapa final'!$AN$47="Catastrófico"),CONCATENATE("R2C",'Mapa final'!$U$47),"")</f>
        <v/>
      </c>
      <c r="AL47" s="42" t="str">
        <f>IF(AND('Mapa final'!$AL$48="Baja",'Mapa final'!$AN$48="Catastrófico"),CONCATENATE("R2C",'Mapa final'!$U$48),"")</f>
        <v/>
      </c>
      <c r="AM47" s="42" t="str">
        <f>IF(AND('Mapa final'!$AL$49="Baja",'Mapa final'!$AN$49="Catastrófico"),CONCATENATE("R2C",'Mapa final'!$U$49),"")</f>
        <v/>
      </c>
      <c r="AN47" s="43" t="str">
        <f>IF(AND('Mapa final'!$AL$60="Baja",'Mapa final'!$AN$50="Catastrófico"),CONCATENATE("R2C",'Mapa final'!$U$50),"")</f>
        <v/>
      </c>
      <c r="AO47" s="69"/>
      <c r="AP47" s="532"/>
      <c r="AQ47" s="533"/>
      <c r="AR47" s="533"/>
      <c r="AS47" s="533"/>
      <c r="AT47" s="533"/>
      <c r="AU47" s="534"/>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c r="B48" s="69"/>
      <c r="C48" s="409"/>
      <c r="D48" s="409"/>
      <c r="E48" s="410"/>
      <c r="F48" s="501"/>
      <c r="G48" s="502"/>
      <c r="H48" s="502"/>
      <c r="I48" s="502"/>
      <c r="J48" s="502"/>
      <c r="K48" s="62" t="str">
        <f>IF(AND('Mapa final'!$AL$51="Baja",'Mapa final'!$AN$51="Leve"),CONCATENATE("R2C",'Mapa final'!$U$51),"")</f>
        <v/>
      </c>
      <c r="L48" s="63" t="str">
        <f>IF(AND('Mapa final'!$AL$52="Baja",'Mapa final'!$AN$52="Leve"),CONCATENATE("R2C",'Mapa final'!$U$52),"")</f>
        <v/>
      </c>
      <c r="M48" s="63" t="str">
        <f>IF(AND('Mapa final'!$AL$53="Baja",'Mapa final'!$AN$53="Leve"),CONCATENATE("R2C",'Mapa final'!$U$53),"")</f>
        <v/>
      </c>
      <c r="N48" s="63" t="str">
        <f>IF(AND('Mapa final'!$AL$54="Baja",'Mapa final'!$AN$54="Leve"),CONCATENATE("R2C",'Mapa final'!$U$54),"")</f>
        <v/>
      </c>
      <c r="O48" s="63" t="str">
        <f>IF(AND('Mapa final'!$AL$55="Baja",'Mapa final'!$AN$55="Leve"),CONCATENATE("R2C",'Mapa final'!$U$55),"")</f>
        <v/>
      </c>
      <c r="P48" s="64" t="str">
        <f>IF(AND('Mapa final'!$AL$56="Baja",'Mapa final'!$AN$56="Leve"),CONCATENATE("R2C",'Mapa final'!$U$56),"")</f>
        <v/>
      </c>
      <c r="Q48" s="53" t="str">
        <f>IF(AND('Mapa final'!$AL$51="Baja",'Mapa final'!$AN$51="Menor"),CONCATENATE("R2C",'Mapa final'!$U$51),"")</f>
        <v/>
      </c>
      <c r="R48" s="54" t="str">
        <f>IF(AND('Mapa final'!$AL$52="Baja",'Mapa final'!$AN$52="Menor"),CONCATENATE("R2C",'Mapa final'!$U$52),"")</f>
        <v/>
      </c>
      <c r="S48" s="54" t="str">
        <f>IF(AND('Mapa final'!$AL$53="Baja",'Mapa final'!$AN$53="Menor"),CONCATENATE("R2C",'Mapa final'!$U$53),"")</f>
        <v/>
      </c>
      <c r="T48" s="54" t="str">
        <f>IF(AND('Mapa final'!$AL$54="Baja",'Mapa final'!$AN$54="Menor"),CONCATENATE("R2C",'Mapa final'!$U$54),"")</f>
        <v/>
      </c>
      <c r="U48" s="54" t="str">
        <f>IF(AND('Mapa final'!$AL$55="Baja",'Mapa final'!$AN$55="Menor"),CONCATENATE("R2C",'Mapa final'!$U$55),"")</f>
        <v/>
      </c>
      <c r="V48" s="55" t="str">
        <f>IF(AND('Mapa final'!$AL$56="Baja",'Mapa final'!$AN$56="Menor"),CONCATENATE("R2C",'Mapa final'!$U$56),"")</f>
        <v/>
      </c>
      <c r="W48" s="53" t="str">
        <f>IF(AND('Mapa final'!$AL$51="Baja",'Mapa final'!$AN$51="Moderado"),CONCATENATE("R2C",'Mapa final'!$U$51),"")</f>
        <v/>
      </c>
      <c r="X48" s="54" t="str">
        <f>IF(AND('Mapa final'!$AL$52="Baja",'Mapa final'!$AN$52="Moderado"),CONCATENATE("R2C",'Mapa final'!$U$52),"")</f>
        <v/>
      </c>
      <c r="Y48" s="54" t="str">
        <f>IF(AND('Mapa final'!$AL$53="Baja",'Mapa final'!$AN$53="Moderado"),CONCATENATE("R2C",'Mapa final'!$U$53),"")</f>
        <v/>
      </c>
      <c r="Z48" s="54" t="str">
        <f>IF(AND('Mapa final'!$AL$54="Baja",'Mapa final'!$AN$54="Moderado"),CONCATENATE("R2C",'Mapa final'!$U$54),"")</f>
        <v/>
      </c>
      <c r="AA48" s="54" t="str">
        <f>IF(AND('Mapa final'!$AL$55="Baja",'Mapa final'!$AN$55="Moderado"),CONCATENATE("R2C",'Mapa final'!$U$55),"")</f>
        <v/>
      </c>
      <c r="AB48" s="55" t="str">
        <f>IF(AND('Mapa final'!$AL$56="Baja",'Mapa final'!$AN$56="Moderado"),CONCATENATE("R2C",'Mapa final'!$U$56),"")</f>
        <v/>
      </c>
      <c r="AC48" s="38" t="str">
        <f>IF(AND('Mapa final'!$AL$51="Baja",'Mapa final'!$AN$51="Mayor"),CONCATENATE("R2C",'Mapa final'!$U$51),"")</f>
        <v/>
      </c>
      <c r="AD48" s="39" t="str">
        <f>IF(AND('Mapa final'!$AL$52="Baja",'Mapa final'!$AN$52="Mayor"),CONCATENATE("R2C",'Mapa final'!$U$52),"")</f>
        <v/>
      </c>
      <c r="AE48" s="39" t="str">
        <f>IF(AND('Mapa final'!$AL$53="Baja",'Mapa final'!$AN$53="Mayor"),CONCATENATE("R2C",'Mapa final'!$U$53),"")</f>
        <v/>
      </c>
      <c r="AF48" s="39" t="str">
        <f>IF(AND('Mapa final'!$AL$54="Baja",'Mapa final'!$AN$54="Mayor"),CONCATENATE("R2C",'Mapa final'!$U$54),"")</f>
        <v/>
      </c>
      <c r="AG48" s="39" t="str">
        <f>IF(AND('Mapa final'!$AL$55="Baja",'Mapa final'!$AN$55="Mayor"),CONCATENATE("R2C",'Mapa final'!$U$55),"")</f>
        <v/>
      </c>
      <c r="AH48" s="40" t="str">
        <f>IF(AND('Mapa final'!$AL$56="Baja",'Mapa final'!$AN$56="Mayor"),CONCATENATE("R2C",'Mapa final'!$U$56),"")</f>
        <v/>
      </c>
      <c r="AI48" s="41" t="str">
        <f>IF(AND('Mapa final'!$AL$51="Baja",'Mapa final'!$AN$51="Catastrófico"),CONCATENATE("R2C",'Mapa final'!$U$51),"")</f>
        <v/>
      </c>
      <c r="AJ48" s="42" t="str">
        <f>IF(AND('Mapa final'!$AL$52="Baja",'Mapa final'!$AN$52="Catastrófico"),CONCATENATE("R2C",'Mapa final'!$U$52),"")</f>
        <v/>
      </c>
      <c r="AK48" s="42" t="str">
        <f>IF(AND('Mapa final'!$AL$53="Baja",'Mapa final'!$AN$53="Catastrófico"),CONCATENATE("R2C",'Mapa final'!$U$53),"")</f>
        <v/>
      </c>
      <c r="AL48" s="42" t="str">
        <f>IF(AND('Mapa final'!$AL$54="Baja",'Mapa final'!$AN$54="Catastrófico"),CONCATENATE("R2C",'Mapa final'!$U$54),"")</f>
        <v/>
      </c>
      <c r="AM48" s="42" t="str">
        <f>IF(AND('Mapa final'!$AL$55="Baja",'Mapa final'!$AN$55="Catastrófico"),CONCATENATE("R2C",'Mapa final'!$U$55),"")</f>
        <v/>
      </c>
      <c r="AN48" s="43" t="str">
        <f>IF(AND('Mapa final'!$AL$56="Baja",'Mapa final'!$AN$56="Catastrófico"),CONCATENATE("R2C",'Mapa final'!$U$56),"")</f>
        <v/>
      </c>
      <c r="AO48" s="69"/>
      <c r="AP48" s="532"/>
      <c r="AQ48" s="533"/>
      <c r="AR48" s="533"/>
      <c r="AS48" s="533"/>
      <c r="AT48" s="533"/>
      <c r="AU48" s="534"/>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c r="B49" s="69"/>
      <c r="C49" s="409"/>
      <c r="D49" s="409"/>
      <c r="E49" s="410"/>
      <c r="F49" s="501"/>
      <c r="G49" s="502"/>
      <c r="H49" s="502"/>
      <c r="I49" s="502"/>
      <c r="J49" s="502"/>
      <c r="K49" s="62" t="str">
        <f>IF(AND('Mapa final'!$AL$57="Baja",'Mapa final'!$AN$57="Leve"),CONCATENATE("R2C",'Mapa final'!$U$57),"")</f>
        <v/>
      </c>
      <c r="L49" s="63" t="str">
        <f>IF(AND('Mapa final'!$AL$58="Baja",'Mapa final'!$AN$58="Leve"),CONCATENATE("R2C",'Mapa final'!$U$58),"")</f>
        <v/>
      </c>
      <c r="M49" s="63" t="str">
        <f>IF(AND('Mapa final'!$AL$59="Baja",'Mapa final'!$AN$59="Leve"),CONCATENATE("R2C",'Mapa final'!$U$59),"")</f>
        <v/>
      </c>
      <c r="N49" s="63" t="str">
        <f>IF(AND('Mapa final'!$AL$60="Baja",'Mapa final'!$AN$60="Leve"),CONCATENATE("R2C",'Mapa final'!$U$60),"")</f>
        <v/>
      </c>
      <c r="O49" s="63" t="str">
        <f>IF(AND('Mapa final'!$AL$61="Baja",'Mapa final'!$AN$61="Leve"),CONCATENATE("R2C",'Mapa final'!$U$61),"")</f>
        <v/>
      </c>
      <c r="P49" s="64" t="str">
        <f>IF(AND('Mapa final'!$AL$62="Baja",'Mapa final'!$AN$62="Leve"),CONCATENATE("R2C",'Mapa final'!$U$62),"")</f>
        <v/>
      </c>
      <c r="Q49" s="53" t="str">
        <f>IF(AND('Mapa final'!$AL$57="Baja",'Mapa final'!$AN$57="Menor"),CONCATENATE("R2C",'Mapa final'!$U$57),"")</f>
        <v/>
      </c>
      <c r="R49" s="54" t="str">
        <f>IF(AND('Mapa final'!$AL$58="Baja",'Mapa final'!$AN$58="Menor"),CONCATENATE("R2C",'Mapa final'!$U$58),"")</f>
        <v/>
      </c>
      <c r="S49" s="54" t="str">
        <f>IF(AND('Mapa final'!$AL$59="Baja",'Mapa final'!$AN$59="Menor"),CONCATENATE("R2C",'Mapa final'!$U$59),"")</f>
        <v/>
      </c>
      <c r="T49" s="54" t="str">
        <f>IF(AND('Mapa final'!$AL$60="Baja",'Mapa final'!$AN$60="Menor"),CONCATENATE("R2C",'Mapa final'!$U$60),"")</f>
        <v/>
      </c>
      <c r="U49" s="54" t="str">
        <f>IF(AND('Mapa final'!$AL$61="Baja",'Mapa final'!$AN$61="Menor"),CONCATENATE("R2C",'Mapa final'!$U$61),"")</f>
        <v/>
      </c>
      <c r="V49" s="55" t="str">
        <f>IF(AND('Mapa final'!$AL$62="Baja",'Mapa final'!$AN$62="Menor"),CONCATENATE("R2C",'Mapa final'!$U$62),"")</f>
        <v/>
      </c>
      <c r="W49" s="53" t="str">
        <f>IF(AND('Mapa final'!$AL$57="Baja",'Mapa final'!$AN$57="Moderado"),CONCATENATE("R2C",'Mapa final'!$U$57),"")</f>
        <v/>
      </c>
      <c r="X49" s="54" t="str">
        <f>IF(AND('Mapa final'!$AL$58="Baja",'Mapa final'!$AN$58="Moderado"),CONCATENATE("R2C",'Mapa final'!$U$58),"")</f>
        <v/>
      </c>
      <c r="Y49" s="54" t="str">
        <f>IF(AND('Mapa final'!$AL$59="Baja",'Mapa final'!$AN$59="Moderado"),CONCATENATE("R2C",'Mapa final'!$U$59),"")</f>
        <v/>
      </c>
      <c r="Z49" s="54" t="str">
        <f>IF(AND('Mapa final'!$AL$60="Baja",'Mapa final'!$AN$60="Moderado"),CONCATENATE("R2C",'Mapa final'!$U$60),"")</f>
        <v/>
      </c>
      <c r="AA49" s="54" t="str">
        <f>IF(AND('Mapa final'!$AL$61="Baja",'Mapa final'!$AN$61="Moderado"),CONCATENATE("R2C",'Mapa final'!$U$61),"")</f>
        <v/>
      </c>
      <c r="AB49" s="55" t="str">
        <f>IF(AND('Mapa final'!$AL$62="Baja",'Mapa final'!$AN$62="Moderado"),CONCATENATE("R2C",'Mapa final'!$U$62),"")</f>
        <v/>
      </c>
      <c r="AC49" s="38" t="str">
        <f>IF(AND('Mapa final'!$AL$57="Baja",'Mapa final'!$AN$57="Mayor"),CONCATENATE("R2C",'Mapa final'!$U$57),"")</f>
        <v/>
      </c>
      <c r="AD49" s="39" t="str">
        <f>IF(AND('Mapa final'!$AL$58="Baja",'Mapa final'!$AN$58="Mayor"),CONCATENATE("R2C",'Mapa final'!$U$58),"")</f>
        <v/>
      </c>
      <c r="AE49" s="39" t="str">
        <f>IF(AND('Mapa final'!$AL$59="Baja",'Mapa final'!$AN$59="Mayor"),CONCATENATE("R2C",'Mapa final'!$U$59),"")</f>
        <v/>
      </c>
      <c r="AF49" s="39" t="str">
        <f>IF(AND('Mapa final'!$AL$60="Baja",'Mapa final'!$AN$60="Mayor"),CONCATENATE("R2C",'Mapa final'!$U$60),"")</f>
        <v/>
      </c>
      <c r="AG49" s="39" t="str">
        <f>IF(AND('Mapa final'!$AL$61="Baja",'Mapa final'!$AN$61="Mayor"),CONCATENATE("R2C",'Mapa final'!$U$61),"")</f>
        <v/>
      </c>
      <c r="AH49" s="40" t="str">
        <f>IF(AND('Mapa final'!$AL$62="Baja",'Mapa final'!$AN$62="Mayor"),CONCATENATE("R2C",'Mapa final'!$U$62),"")</f>
        <v/>
      </c>
      <c r="AI49" s="41" t="str">
        <f>IF(AND('Mapa final'!$AL$57="Baja",'Mapa final'!$AN$57="Catastrófico"),CONCATENATE("R2C",'Mapa final'!$U$57),"")</f>
        <v/>
      </c>
      <c r="AJ49" s="42" t="str">
        <f>IF(AND('Mapa final'!$AL$58="Baja",'Mapa final'!$AN$58="Catastrófico"),CONCATENATE("R2C",'Mapa final'!$U$58),"")</f>
        <v/>
      </c>
      <c r="AK49" s="42" t="str">
        <f>IF(AND('Mapa final'!$AL$59="Baja",'Mapa final'!$AN$59="Catastrófico"),CONCATENATE("R2C",'Mapa final'!$U$59),"")</f>
        <v/>
      </c>
      <c r="AL49" s="42" t="str">
        <f>IF(AND('Mapa final'!$AL$60="Baja",'Mapa final'!$AN$60="Catastrófico"),CONCATENATE("R2C",'Mapa final'!$U$60),"")</f>
        <v/>
      </c>
      <c r="AM49" s="42" t="str">
        <f>IF(AND('Mapa final'!$AL$61="Baja",'Mapa final'!$AN$61="Catastrófico"),CONCATENATE("R2C",'Mapa final'!$U$61),"")</f>
        <v/>
      </c>
      <c r="AN49" s="43" t="str">
        <f>IF(AND('Mapa final'!$AL$62="Baja",'Mapa final'!$AN$62="Catastrófico"),CONCATENATE("R2C",'Mapa final'!$U$62),"")</f>
        <v/>
      </c>
      <c r="AO49" s="69"/>
      <c r="AP49" s="532"/>
      <c r="AQ49" s="533"/>
      <c r="AR49" s="533"/>
      <c r="AS49" s="533"/>
      <c r="AT49" s="533"/>
      <c r="AU49" s="534"/>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c r="B50" s="69"/>
      <c r="C50" s="409"/>
      <c r="D50" s="409"/>
      <c r="E50" s="410"/>
      <c r="F50" s="501"/>
      <c r="G50" s="502"/>
      <c r="H50" s="502"/>
      <c r="I50" s="502"/>
      <c r="J50" s="502"/>
      <c r="K50" s="62" t="str">
        <f>IF(AND('Mapa final'!$AL$63="Baja",'Mapa final'!$AN$63="Leve"),CONCATENATE("R2C",'Mapa final'!$U$63),"")</f>
        <v/>
      </c>
      <c r="L50" s="63" t="str">
        <f>IF(AND('Mapa final'!$AL$64="Baja",'Mapa final'!$AN$64="Leve"),CONCATENATE("R2C",'Mapa final'!$U$64),"")</f>
        <v/>
      </c>
      <c r="M50" s="63" t="str">
        <f>IF(AND('Mapa final'!$AL$65="Baja",'Mapa final'!$AN$65="Leve"),CONCATENATE("R2C",'Mapa final'!$U$65),"")</f>
        <v/>
      </c>
      <c r="N50" s="63" t="str">
        <f>IF(AND('Mapa final'!$AL$66="Baja",'Mapa final'!$AN$66="Leve"),CONCATENATE("R2C",'Mapa final'!$U$66),"")</f>
        <v/>
      </c>
      <c r="O50" s="63" t="str">
        <f>IF(AND('Mapa final'!$AL$67="Baja",'Mapa final'!$AN$67="Leve"),CONCATENATE("R2C",'Mapa final'!$U$67),"")</f>
        <v/>
      </c>
      <c r="P50" s="64" t="str">
        <f>IF(AND('Mapa final'!$AL$68="Baja",'Mapa final'!$AN$68="Leve"),CONCATENATE("R2C",'Mapa final'!$U$68),"")</f>
        <v/>
      </c>
      <c r="Q50" s="53" t="str">
        <f>IF(AND('Mapa final'!$AL$63="Baja",'Mapa final'!$AN$63="Menor"),CONCATENATE("R2C",'Mapa final'!$U$63),"")</f>
        <v/>
      </c>
      <c r="R50" s="54" t="str">
        <f>IF(AND('Mapa final'!$AL$64="Baja",'Mapa final'!$AN$64="Menor"),CONCATENATE("R2C",'Mapa final'!$U$64),"")</f>
        <v/>
      </c>
      <c r="S50" s="54" t="str">
        <f>IF(AND('Mapa final'!$AL$65="Baja",'Mapa final'!$AN$65="Menor"),CONCATENATE("R2C",'Mapa final'!$U$65),"")</f>
        <v/>
      </c>
      <c r="T50" s="54" t="str">
        <f>IF(AND('Mapa final'!$AL$66="Baja",'Mapa final'!$AN$66="Menor"),CONCATENATE("R2C",'Mapa final'!$U$66),"")</f>
        <v/>
      </c>
      <c r="U50" s="54" t="str">
        <f>IF(AND('Mapa final'!$AL$67="Baja",'Mapa final'!$AN$67="Menor"),CONCATENATE("R2C",'Mapa final'!$U$67),"")</f>
        <v/>
      </c>
      <c r="V50" s="55" t="str">
        <f>IF(AND('Mapa final'!$AL$68="Baja",'Mapa final'!$AN$68="Menor"),CONCATENATE("R2C",'Mapa final'!$U$68),"")</f>
        <v/>
      </c>
      <c r="W50" s="53" t="str">
        <f>IF(AND('Mapa final'!$AL$63="Baja",'Mapa final'!$AN$63="Moderado"),CONCATENATE("R2C",'Mapa final'!$U$63),"")</f>
        <v/>
      </c>
      <c r="X50" s="54" t="str">
        <f>IF(AND('Mapa final'!$AL$64="Baja",'Mapa final'!$AN$64="Moderado"),CONCATENATE("R2C",'Mapa final'!$U$64),"")</f>
        <v/>
      </c>
      <c r="Y50" s="54" t="str">
        <f>IF(AND('Mapa final'!$AL$65="Baja",'Mapa final'!$AN$65="Moderado"),CONCATENATE("R2C",'Mapa final'!$U$65),"")</f>
        <v/>
      </c>
      <c r="Z50" s="54" t="str">
        <f>IF(AND('Mapa final'!$AL$66="Baja",'Mapa final'!$AN$66="Moderado"),CONCATENATE("R2C",'Mapa final'!$U$66),"")</f>
        <v/>
      </c>
      <c r="AA50" s="54" t="str">
        <f>IF(AND('Mapa final'!$AL$67="Baja",'Mapa final'!$AN$67="Moderado"),CONCATENATE("R2C",'Mapa final'!$U$67),"")</f>
        <v/>
      </c>
      <c r="AB50" s="55" t="str">
        <f>IF(AND('Mapa final'!$AL$68="Baja",'Mapa final'!$AN$68="Moderado"),CONCATENATE("R2C",'Mapa final'!$U$68),"")</f>
        <v/>
      </c>
      <c r="AC50" s="38" t="str">
        <f>IF(AND('Mapa final'!$AL$63="Baja",'Mapa final'!$AN$63="Mayor"),CONCATENATE("R2C",'Mapa final'!$U$63),"")</f>
        <v/>
      </c>
      <c r="AD50" s="39" t="str">
        <f>IF(AND('Mapa final'!$AL$64="Baja",'Mapa final'!$AN$64="Mayor"),CONCATENATE("R2C",'Mapa final'!$U$64),"")</f>
        <v/>
      </c>
      <c r="AE50" s="39" t="str">
        <f>IF(AND('Mapa final'!$AL$65="Baja",'Mapa final'!$AN$65="Mayor"),CONCATENATE("R2C",'Mapa final'!$U$65),"")</f>
        <v/>
      </c>
      <c r="AF50" s="39" t="str">
        <f>IF(AND('Mapa final'!$AL$66="Baja",'Mapa final'!$AN$66="Mayor"),CONCATENATE("R2C",'Mapa final'!$U$66),"")</f>
        <v/>
      </c>
      <c r="AG50" s="39" t="str">
        <f>IF(AND('Mapa final'!$AL$67="Baja",'Mapa final'!$AN$67="Mayor"),CONCATENATE("R2C",'Mapa final'!$U$67),"")</f>
        <v/>
      </c>
      <c r="AH50" s="40" t="str">
        <f>IF(AND('Mapa final'!$AL$68="Baja",'Mapa final'!$AN$68="Mayor"),CONCATENATE("R2C",'Mapa final'!$U$68),"")</f>
        <v/>
      </c>
      <c r="AI50" s="41" t="str">
        <f>IF(AND('Mapa final'!$AL$63="Baja",'Mapa final'!$AN$63="Catastrófico"),CONCATENATE("R2C",'Mapa final'!$U$63),"")</f>
        <v/>
      </c>
      <c r="AJ50" s="42" t="str">
        <f>IF(AND('Mapa final'!$AL$64="Baja",'Mapa final'!$AN$64="Catastrófico"),CONCATENATE("R2C",'Mapa final'!$U$64),"")</f>
        <v/>
      </c>
      <c r="AK50" s="42" t="str">
        <f>IF(AND('Mapa final'!$AL$65="Baja",'Mapa final'!$AN$65="Catastrófico"),CONCATENATE("R2C",'Mapa final'!$U$65),"")</f>
        <v/>
      </c>
      <c r="AL50" s="42" t="str">
        <f>IF(AND('Mapa final'!$AL$66="Baja",'Mapa final'!$AN$66="Catastrófico"),CONCATENATE("R2C",'Mapa final'!$U$66),"")</f>
        <v/>
      </c>
      <c r="AM50" s="42" t="str">
        <f>IF(AND('Mapa final'!$AL$67="Baja",'Mapa final'!$AN$67="Catastrófico"),CONCATENATE("R2C",'Mapa final'!$U$67),"")</f>
        <v/>
      </c>
      <c r="AN50" s="43" t="str">
        <f>IF(AND('Mapa final'!$AL$68="Baja",'Mapa final'!$AN$68="Catastrófico"),CONCATENATE("R2C",'Mapa final'!$U$68),"")</f>
        <v/>
      </c>
      <c r="AO50" s="69"/>
      <c r="AP50" s="532"/>
      <c r="AQ50" s="533"/>
      <c r="AR50" s="533"/>
      <c r="AS50" s="533"/>
      <c r="AT50" s="533"/>
      <c r="AU50" s="534"/>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c r="B51" s="69"/>
      <c r="C51" s="409"/>
      <c r="D51" s="409"/>
      <c r="E51" s="410"/>
      <c r="F51" s="504"/>
      <c r="G51" s="505"/>
      <c r="H51" s="505"/>
      <c r="I51" s="505"/>
      <c r="J51" s="505"/>
      <c r="K51" s="65" t="str">
        <f>IF(AND('Mapa final'!$AL$69="Baja",'Mapa final'!$AN$69="Leve"),CONCATENATE("R2C",'Mapa final'!$U$69),"")</f>
        <v/>
      </c>
      <c r="L51" s="66" t="str">
        <f>IF(AND('Mapa final'!$AL$70="Baja",'Mapa final'!$AN$70="Leve"),CONCATENATE("R2C",'Mapa final'!$U$70),"")</f>
        <v/>
      </c>
      <c r="M51" s="66" t="str">
        <f>IF(AND('Mapa final'!$AL$71="Baja",'Mapa final'!$AN$71="Leve"),CONCATENATE("R2C",'Mapa final'!$U$71),"")</f>
        <v/>
      </c>
      <c r="N51" s="66" t="str">
        <f>IF(AND('Mapa final'!$AL$72="Baja",'Mapa final'!$AN$72="Leve"),CONCATENATE("R2C",'Mapa final'!$U$72),"")</f>
        <v/>
      </c>
      <c r="O51" s="66" t="str">
        <f>IF(AND('Mapa final'!$AL$74="Baja",'Mapa final'!$AN$74="Leve"),CONCATENATE("R2C",'Mapa final'!$U$74),"")</f>
        <v/>
      </c>
      <c r="P51" s="67" t="str">
        <f>IF(AND('Mapa final'!$AL$75="Baja",'Mapa final'!$AN$75="Leve"),CONCATENATE("R2C",'Mapa final'!$U$75),"")</f>
        <v/>
      </c>
      <c r="Q51" s="56" t="str">
        <f>IF(AND('Mapa final'!$AL$69="Baja",'Mapa final'!$AN$69="Menor"),CONCATENATE("R2C",'Mapa final'!$U$69),"")</f>
        <v/>
      </c>
      <c r="R51" s="57" t="str">
        <f>IF(AND('Mapa final'!$AL$70="Baja",'Mapa final'!$AN$70="Menor"),CONCATENATE("R2C",'Mapa final'!$U$70),"")</f>
        <v/>
      </c>
      <c r="S51" s="57" t="str">
        <f>IF(AND('Mapa final'!$AL$71="Baja",'Mapa final'!$AN$71="Menor"),CONCATENATE("R2C",'Mapa final'!$U$71),"")</f>
        <v/>
      </c>
      <c r="T51" s="57" t="str">
        <f>IF(AND('Mapa final'!$AL$72="Baja",'Mapa final'!$AN$72="Menor"),CONCATENATE("R2C",'Mapa final'!$U$72),"")</f>
        <v/>
      </c>
      <c r="U51" s="57" t="str">
        <f>IF(AND('Mapa final'!$AL$74="Baja",'Mapa final'!$AN$74="Menor"),CONCATENATE("R2C",'Mapa final'!$U$74),"")</f>
        <v/>
      </c>
      <c r="V51" s="58" t="str">
        <f>IF(AND('Mapa final'!$AL$75="Baja",'Mapa final'!$AN$75="Menor"),CONCATENATE("R2C",'Mapa final'!$U$75),"")</f>
        <v/>
      </c>
      <c r="W51" s="56" t="str">
        <f>IF(AND('Mapa final'!$AL$69="Baja",'Mapa final'!$AN$69="Moderado"),CONCATENATE("R2C",'Mapa final'!$U$69),"")</f>
        <v/>
      </c>
      <c r="X51" s="57" t="str">
        <f>IF(AND('Mapa final'!$AL$70="Baja",'Mapa final'!$AN$70="Moderado"),CONCATENATE("R2C",'Mapa final'!$U$70),"")</f>
        <v/>
      </c>
      <c r="Y51" s="57" t="str">
        <f>IF(AND('Mapa final'!$AL$71="Baja",'Mapa final'!$AN$71="Moderado"),CONCATENATE("R2C",'Mapa final'!$U$71),"")</f>
        <v/>
      </c>
      <c r="Z51" s="57" t="str">
        <f>IF(AND('Mapa final'!$AL$72="Baja",'Mapa final'!$AN$72="Moderado"),CONCATENATE("R2C",'Mapa final'!$U$72),"")</f>
        <v/>
      </c>
      <c r="AA51" s="57" t="str">
        <f>IF(AND('Mapa final'!$AL$74="Baja",'Mapa final'!$AN$74="Moderado"),CONCATENATE("R2C",'Mapa final'!$U$74),"")</f>
        <v/>
      </c>
      <c r="AB51" s="58" t="str">
        <f>IF(AND('Mapa final'!$AL$75="Baja",'Mapa final'!$AN$75="Moderado"),CONCATENATE("R2C",'Mapa final'!$U$75),"")</f>
        <v/>
      </c>
      <c r="AC51" s="44" t="str">
        <f>IF(AND('Mapa final'!$AL$69="Baja",'Mapa final'!$AN$69="Mayor"),CONCATENATE("R2C",'Mapa final'!$U$69),"")</f>
        <v/>
      </c>
      <c r="AD51" s="45" t="str">
        <f>IF(AND('Mapa final'!$AL$70="Baja",'Mapa final'!$AN$70="Mayor"),CONCATENATE("R2C",'Mapa final'!$U$70),"")</f>
        <v/>
      </c>
      <c r="AE51" s="45" t="str">
        <f>IF(AND('Mapa final'!$AL$71="Baja",'Mapa final'!$AN$71="Mayor"),CONCATENATE("R2C",'Mapa final'!$U$71),"")</f>
        <v/>
      </c>
      <c r="AF51" s="45" t="str">
        <f>IF(AND('Mapa final'!$AL$72="Baja",'Mapa final'!$AN$72="Mayor"),CONCATENATE("R2C",'Mapa final'!$U$72),"")</f>
        <v/>
      </c>
      <c r="AG51" s="45" t="str">
        <f>IF(AND('Mapa final'!$AL$74="Baja",'Mapa final'!$AN$74="Mayor"),CONCATENATE("R2C",'Mapa final'!$U$74),"")</f>
        <v/>
      </c>
      <c r="AH51" s="46" t="str">
        <f>IF(AND('Mapa final'!$AL$75="Baja",'Mapa final'!$AN$75="Mayor"),CONCATENATE("R2C",'Mapa final'!$U$75),"")</f>
        <v/>
      </c>
      <c r="AI51" s="47" t="str">
        <f>IF(AND('Mapa final'!$AL$69="Baja",'Mapa final'!$AN$69="Catastrófico"),CONCATENATE("R2C",'Mapa final'!$U$69),"")</f>
        <v/>
      </c>
      <c r="AJ51" s="48" t="str">
        <f>IF(AND('Mapa final'!$AL$70="Baja",'Mapa final'!$AN$70="Catastrófico"),CONCATENATE("R2C",'Mapa final'!$U$70),"")</f>
        <v/>
      </c>
      <c r="AK51" s="48" t="str">
        <f>IF(AND('Mapa final'!$AL$71="Baja",'Mapa final'!$AN$71="Catastrófico"),CONCATENATE("R2C",'Mapa final'!$U$71),"")</f>
        <v/>
      </c>
      <c r="AL51" s="48" t="str">
        <f>IF(AND('Mapa final'!$AL$72="Baja",'Mapa final'!$AN$72="Catastrófico"),CONCATENATE("R2C",'Mapa final'!$U$72),"")</f>
        <v/>
      </c>
      <c r="AM51" s="48" t="str">
        <f>IF(AND('Mapa final'!$AL$74="Baja",'Mapa final'!$AN$74="Catastrófico"),CONCATENATE("R2C",'Mapa final'!$U$74),"")</f>
        <v/>
      </c>
      <c r="AN51" s="49" t="str">
        <f>IF(AND('Mapa final'!$AL$75="Baja",'Mapa final'!$AN$75="Catastrófico"),CONCATENATE("R2C",'Mapa final'!$U$75),"")</f>
        <v/>
      </c>
      <c r="AO51" s="69"/>
      <c r="AP51" s="535"/>
      <c r="AQ51" s="536"/>
      <c r="AR51" s="536"/>
      <c r="AS51" s="536"/>
      <c r="AT51" s="536"/>
      <c r="AU51" s="537"/>
    </row>
    <row r="52" spans="2:81" ht="41.25" customHeight="1">
      <c r="B52" s="69"/>
      <c r="C52" s="409"/>
      <c r="D52" s="409"/>
      <c r="E52" s="410"/>
      <c r="F52" s="498" t="s">
        <v>287</v>
      </c>
      <c r="G52" s="499"/>
      <c r="H52" s="499"/>
      <c r="I52" s="499"/>
      <c r="J52" s="500"/>
      <c r="K52" s="59" t="str">
        <f>IF(AND('Mapa final'!$AL$15="Muy Baja",'Mapa final'!$AN$15="Leve"),CONCATENATE("R2C",'Mapa final'!$U$15),"")</f>
        <v/>
      </c>
      <c r="L52" s="63" t="str">
        <f>IF(AND('Mapa final'!$AL$22="Muy Baja",'Mapa final'!$AN$22="Leve"),CONCATENATE("R2C",'Mapa final'!$U$22),"")</f>
        <v/>
      </c>
      <c r="M52" s="63" t="str">
        <f>IF(AND('Mapa final'!$AL$23="Muy Baja",'Mapa final'!$AN$23="Leve"),CONCATENATE("R2C",'Mapa final'!$U$23),"")</f>
        <v/>
      </c>
      <c r="N52" s="63" t="str">
        <f>IF(AND('Mapa final'!$AL$24="Muy Baja",'Mapa final'!$AN$24="Leve"),CONCATENATE("R2C",'Mapa final'!$U$24),"")</f>
        <v/>
      </c>
      <c r="O52" s="63"/>
      <c r="P52" s="61" t="str">
        <f>IF(AND('Mapa final'!$AL$18="Muy Baja",'Mapa final'!$AN$18="Leve"),CONCATENATE("R2C",'Mapa final'!$U$18),"")</f>
        <v/>
      </c>
      <c r="Q52" s="59" t="str">
        <f>IF(AND('Mapa final'!$AL$15="Muy Baja",'Mapa final'!$AN$15="Menor"),CONCATENATE("R2C",'Mapa final'!$U$15),"")</f>
        <v/>
      </c>
      <c r="R52" s="60" t="str">
        <f>IF(AND('Mapa final'!$AL$16="Muy Baja",'Mapa final'!$AN$16="Menore"),CONCATENATE("R2C",'Mapa final'!$U$16),"")</f>
        <v/>
      </c>
      <c r="S52" s="63" t="str">
        <f>IF(AND('Mapa final'!$AL$23="Muy Baja",'Mapa final'!$AN$23="Menor"),CONCATENATE("R2C",'Mapa final'!$U$23),"")</f>
        <v/>
      </c>
      <c r="T52" s="63" t="str">
        <f>IF(AND('Mapa final'!$AL$24="Muy Baja",'Mapa final'!$AN$24="Menor"),CONCATENATE("R2C",'Mapa final'!$U$24),"")</f>
        <v/>
      </c>
      <c r="U52" s="63" t="str">
        <f>IF(AND('Mapa final'!$AL$25="Muy Baja",'Mapa final'!$AN$25="Menor"),CONCATENATE("R2C",'Mapa final'!$U$25),"")</f>
        <v/>
      </c>
      <c r="V52" s="61" t="str">
        <f>IF(AND('Mapa final'!$AL$18="Muy Baja",'Mapa final'!$AN$18="Menor"),CONCATENATE("R2C",'Mapa final'!$U$18),"")</f>
        <v/>
      </c>
      <c r="W52" s="50" t="str">
        <f>IF(AND('Mapa final'!$AL$15="Muy Baja",'Mapa final'!$AN$15="Moderado"),CONCATENATE("R2C",'Mapa final'!$U$15),"")</f>
        <v/>
      </c>
      <c r="X52" s="68" t="str">
        <f>IF(AND('Mapa final'!$AL$16="Muy Baja",'Mapa final'!$AN$16="Moderado"),CONCATENATE("R2C",'Mapa final'!$U$16),"")</f>
        <v/>
      </c>
      <c r="Y52" s="51"/>
      <c r="Z52" s="51" t="str">
        <f>IF(AND('Mapa final'!$AL$17="Muy Baja",'Mapa final'!$AN$17="Moderado"),CONCATENATE("R2C",'Mapa final'!$U$17),"")</f>
        <v/>
      </c>
      <c r="AA52" s="54"/>
      <c r="AB52" s="52" t="str">
        <f>IF(AND('Mapa final'!$AL$18="Muy Baja",'Mapa final'!$AN$18="Moderado"),CONCATENATE("R2C",'Mapa final'!$U$18),"")</f>
        <v/>
      </c>
      <c r="AC52" s="32" t="str">
        <f>IF(AND('Mapa final'!$AL$15="Muy Baja",'Mapa final'!$AN$15="Mayor"),CONCATENATE("R2C",'Mapa final'!$U$15),"")</f>
        <v/>
      </c>
      <c r="AD52" s="39" t="str">
        <f>IF(AND('Mapa final'!$AL$22="Muy Baja",'Mapa final'!$AN$22="Mayor"),CONCATENATE("R2C",'Mapa final'!$U$22),"")</f>
        <v/>
      </c>
      <c r="AE52" s="39" t="str">
        <f>IF(AND('Mapa final'!$AL$23="Muy Baja",'Mapa final'!$AN$23="Mayor"),CONCATENATE("R2C",'Mapa final'!$U$23),"")</f>
        <v/>
      </c>
      <c r="AF52" s="39" t="str">
        <f>IF(AND('Mapa final'!$AL$24="Muy Baja",'Mapa final'!$AN$24="Mayor"),CONCATENATE("R2C",'Mapa final'!$U$24),"")</f>
        <v/>
      </c>
      <c r="AG52" s="39" t="str">
        <f>IF(AND('Mapa final'!$AL$25="Muy Baja",'Mapa final'!$AN$25="Mayor"),CONCATENATE("R2C",'Mapa final'!$U$25),"")</f>
        <v/>
      </c>
      <c r="AH52" s="34" t="str">
        <f>IF(AND('Mapa final'!$AL$18="Muy Baja",'Mapa final'!$AN$18="Mayor"),CONCATENATE("R2C",'Mapa final'!$U$18),"")</f>
        <v/>
      </c>
      <c r="AI52" s="35" t="str">
        <f>IF(AND('Mapa final'!$AL$15="Muy Baja",'Mapa final'!$AN$15="Catastrófico"),CONCATENATE("R2C",'Mapa final'!$U$15),"")</f>
        <v/>
      </c>
      <c r="AJ52" s="36" t="str">
        <f>IF(AND('Mapa final'!$AL$16="Muy Baja",'Mapa final'!$AN$16="Catastrófico"),CONCATENATE("R2C",'Mapa final'!$U$16),"")</f>
        <v/>
      </c>
      <c r="AK52" s="42"/>
      <c r="AL52" s="36" t="str">
        <f>IF(AND('Mapa final'!$AL$17="Muy Baja",'Mapa final'!$AN$17="Catastrófico"),CONCATENATE("R2C",'Mapa final'!$U$17),"")</f>
        <v/>
      </c>
      <c r="AM52" s="42"/>
      <c r="AN52" s="37" t="str">
        <f>IF(AND('Mapa final'!$AL$18="Muy Baja",'Mapa final'!$AN$18="Catastrófico"),CONCATENATE("R2C",'Mapa final'!$U$18),"")</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c r="B53" s="69"/>
      <c r="C53" s="409"/>
      <c r="D53" s="409"/>
      <c r="E53" s="410"/>
      <c r="F53" s="516"/>
      <c r="G53" s="502"/>
      <c r="H53" s="502"/>
      <c r="I53" s="502"/>
      <c r="J53" s="503"/>
      <c r="K53" s="62" t="str">
        <f>IF(AND('Mapa final'!$AL$21="Muy Baja",'Mapa final'!$AN$21="Leve"),CONCATENATE("R2C",'Mapa final'!$U$21),"")</f>
        <v/>
      </c>
      <c r="L53" s="63" t="str">
        <f>IF(AND('Mapa final'!$AL$22="Muy Baja",'Mapa final'!$AN$22="Leve"),CONCATENATE("R2C",'Mapa final'!$U$22),"")</f>
        <v/>
      </c>
      <c r="M53" s="63" t="str">
        <f>IF(AND('Mapa final'!$AL$23="Muy Baja",'Mapa final'!$AN$23="Leve"),CONCATENATE("R2C",'Mapa final'!$U$23),"")</f>
        <v/>
      </c>
      <c r="N53" s="63" t="str">
        <f>IF(AND('Mapa final'!$AL$24="Muy Baja",'Mapa final'!$AN$24="Leve"),CONCATENATE("R2C",'Mapa final'!$U$24),"")</f>
        <v/>
      </c>
      <c r="O53" s="63"/>
      <c r="P53" s="64" t="str">
        <f>IF(AND('Mapa final'!$AL$26="Muy Baja",'Mapa final'!$AN$26="Leve"),CONCATENATE("R2C",'Mapa final'!$U$26),"")</f>
        <v/>
      </c>
      <c r="Q53" s="62" t="str">
        <f>IF(AND('Mapa final'!$AL$21="Muy Baja",'Mapa final'!$AN$21="Menor"),CONCATENATE("R2C",'Mapa final'!$U$21),"")</f>
        <v/>
      </c>
      <c r="R53" s="63" t="str">
        <f>IF(AND('Mapa final'!$AL$22="Muy Baja",'Mapa final'!$AN$22="Menor"),CONCATENATE("R2C",'Mapa final'!$U$22),"")</f>
        <v/>
      </c>
      <c r="S53" s="63" t="str">
        <f>IF(AND('Mapa final'!$AL$23="Muy Baja",'Mapa final'!$AN$23="Menor"),CONCATENATE("R2C",'Mapa final'!$U$23),"")</f>
        <v/>
      </c>
      <c r="T53" s="63" t="str">
        <f>IF(AND('Mapa final'!$AL$24="Muy Baja",'Mapa final'!$AN$24="Menor"),CONCATENATE("R2C",'Mapa final'!$U$24),"")</f>
        <v/>
      </c>
      <c r="U53" s="63" t="str">
        <f>IF(AND('Mapa final'!$AL$25="Muy Baja",'Mapa final'!$AN$25="Menor"),CONCATENATE("R2C",'Mapa final'!$U$25),"")</f>
        <v/>
      </c>
      <c r="V53" s="64" t="str">
        <f>IF(AND('Mapa final'!$AL$26="Muy Baja",'Mapa final'!$AN$26="Menor"),CONCATENATE("R2C",'Mapa final'!$U$26),"")</f>
        <v/>
      </c>
      <c r="W53" s="53" t="str">
        <f>IF(AND('Mapa final'!$AL$21="Muy Baja",'Mapa final'!$AN$21="Moderado"),CONCATENATE("R2C",'Mapa final'!$U$21),"")</f>
        <v/>
      </c>
      <c r="X53" s="54" t="str">
        <f>IF(AND('Mapa final'!$AL$22="Muy Baja",'Mapa final'!$AN$22="Moderado"),CONCATENATE("R2C",'Mapa final'!$U$22),"")</f>
        <v/>
      </c>
      <c r="Y53" s="54" t="str">
        <f>IF(AND('Mapa final'!$AL$23="Muy Baja",'Mapa final'!$AN$23="Moderado"),CONCATENATE("R2C",'Mapa final'!$U$23),"")</f>
        <v/>
      </c>
      <c r="Z53" s="54" t="str">
        <f>IF(AND('Mapa final'!$AL$24="Muy Baja",'Mapa final'!$AN$24="Moderado"),CONCATENATE("R2C",'Mapa final'!$U$24),"")</f>
        <v/>
      </c>
      <c r="AA53" s="54"/>
      <c r="AB53" s="55" t="str">
        <f>IF(AND('Mapa final'!$AL$26="Muy Baja",'Mapa final'!$AN$26="Moderado"),CONCATENATE("R2C",'Mapa final'!$U$26),"")</f>
        <v/>
      </c>
      <c r="AC53" s="38" t="str">
        <f>IF(AND('Mapa final'!$AL$21="Muy Baja",'Mapa final'!$AN$21="Mayor"),CONCATENATE("R2C",'Mapa final'!$U$21),"")</f>
        <v/>
      </c>
      <c r="AD53" s="39" t="str">
        <f>IF(AND('Mapa final'!$AL$22="Muy Baja",'Mapa final'!$AN$22="Mayor"),CONCATENATE("R2C",'Mapa final'!$U$22),"")</f>
        <v/>
      </c>
      <c r="AE53" s="39" t="str">
        <f>IF(AND('Mapa final'!$AL$23="Muy Baja",'Mapa final'!$AN$23="Mayor"),CONCATENATE("R2C",'Mapa final'!$U$23),"")</f>
        <v/>
      </c>
      <c r="AF53" s="39" t="str">
        <f>IF(AND('Mapa final'!$AL$24="Muy Baja",'Mapa final'!$AN$24="Mayor"),CONCATENATE("R2C",'Mapa final'!$U$24),"")</f>
        <v/>
      </c>
      <c r="AG53" s="39" t="str">
        <f>IF(AND('Mapa final'!$AL$25="Muy Baja",'Mapa final'!$AN$25="Mayor"),CONCATENATE("R2C",'Mapa final'!$U$25),"")</f>
        <v/>
      </c>
      <c r="AH53" s="40" t="str">
        <f>IF(AND('Mapa final'!$AL$26="Muy Baja",'Mapa final'!$AN$26="Mayor"),CONCATENATE("R2C",'Mapa final'!$U$26),"")</f>
        <v/>
      </c>
      <c r="AI53" s="41" t="str">
        <f>IF(AND('Mapa final'!$AL$21="Muy Baja",'Mapa final'!$AN$21="Catastrófico"),CONCATENATE("R2C",'Mapa final'!$U$21),"")</f>
        <v/>
      </c>
      <c r="AJ53" s="42" t="str">
        <f>IF(AND('Mapa final'!$AL$22="Muy Baja",'Mapa final'!$AN$22="Catastrófico"),CONCATENATE("R2C",'Mapa final'!$U$22),"")</f>
        <v/>
      </c>
      <c r="AK53" s="42"/>
      <c r="AL53" s="42"/>
      <c r="AM53" s="42"/>
      <c r="AN53" s="43" t="str">
        <f>IF(AND('Mapa final'!$AL$26="Muy Baja",'Mapa final'!$AN$26="Catastrófico"),CONCATENATE("R2C",'Mapa final'!$U$26),"")</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c r="B54" s="69"/>
      <c r="C54" s="409"/>
      <c r="D54" s="409"/>
      <c r="E54" s="410"/>
      <c r="F54" s="516"/>
      <c r="G54" s="502"/>
      <c r="H54" s="502"/>
      <c r="I54" s="502"/>
      <c r="J54" s="503"/>
      <c r="K54" s="62" t="str">
        <f>IF(AND('Mapa final'!$AL$27="Muy Baja",'Mapa final'!$AN$27="Leve"),CONCATENATE("R2C",'Mapa final'!$U$27),"")</f>
        <v/>
      </c>
      <c r="L54" s="63" t="str">
        <f>IF(AND('Mapa final'!$AL$28="Muy Baja",'Mapa final'!$AN$28="Leve"),CONCATENATE("R2C",'Mapa final'!$U$28),"")</f>
        <v/>
      </c>
      <c r="M54" s="63" t="str">
        <f>IF(AND('Mapa final'!$AL$29="Muy Baja",'Mapa final'!$AN$29="Leve"),CONCATENATE("R2C",'Mapa final'!$U$29),"")</f>
        <v/>
      </c>
      <c r="N54" s="63" t="str">
        <f>IF(AND('Mapa final'!$AL$30="Muy Baja",'Mapa final'!$AN$30="Leve"),CONCATENATE("R2C",'Mapa final'!$U$30),"")</f>
        <v/>
      </c>
      <c r="O54" s="63" t="str">
        <f>IF(AND('Mapa final'!$AL$31="Muy Baja",'Mapa final'!$AN$31="Leve"),CONCATENATE("R2C",'Mapa final'!$U$31),"")</f>
        <v/>
      </c>
      <c r="P54" s="64" t="str">
        <f>IF(AND('Mapa final'!$AL$32="Muy Baja",'Mapa final'!$AN$32="Leve"),CONCATENATE("R2C",'Mapa final'!$U$32),"")</f>
        <v/>
      </c>
      <c r="Q54" s="62" t="str">
        <f>IF(AND('Mapa final'!$AL$27="Muy Baja",'Mapa final'!$AN$27="Menor"),CONCATENATE("R2C",'Mapa final'!$U$27),"")</f>
        <v/>
      </c>
      <c r="R54" s="63" t="str">
        <f>IF(AND('Mapa final'!$AL$28="Muy Baja",'Mapa final'!$AN$28="Menor"),CONCATENATE("R2C",'Mapa final'!$U$28),"")</f>
        <v/>
      </c>
      <c r="S54" s="63" t="str">
        <f>IF(AND('Mapa final'!$AL$29="Muy Baja",'Mapa final'!$AN$29="Menor"),CONCATENATE("R2C",'Mapa final'!$U$29),"")</f>
        <v/>
      </c>
      <c r="T54" s="63" t="str">
        <f>IF(AND('Mapa final'!$AL$30="Muy Baja",'Mapa final'!$AN$30="Menor"),CONCATENATE("R2C",'Mapa final'!$U$30),"")</f>
        <v/>
      </c>
      <c r="U54" s="63" t="str">
        <f>IF(AND('Mapa final'!$AL$31="Muy Baja",'Mapa final'!$AN$31="Menor"),CONCATENATE("R2C",'Mapa final'!$U$31),"")</f>
        <v/>
      </c>
      <c r="V54" s="64" t="str">
        <f>IF(AND('Mapa final'!$AL$32="Muy Baja",'Mapa final'!$AN$32="Menor"),CONCATENATE("R2C",'Mapa final'!$U$32),"")</f>
        <v/>
      </c>
      <c r="W54" s="53" t="str">
        <f>IF(AND('Mapa final'!$AL$27="Muy Baja",'Mapa final'!$AN$27="Moderado"),CONCATENATE("R2C",'Mapa final'!$U$27),"")</f>
        <v/>
      </c>
      <c r="X54" s="54" t="str">
        <f>IF(AND('Mapa final'!$AL$28="Muy Baja",'Mapa final'!$AN$28="Moderado"),CONCATENATE("R2C",'Mapa final'!$U$28),"")</f>
        <v/>
      </c>
      <c r="Y54" s="54" t="str">
        <f>IF(AND('Mapa final'!$AL$29="Muy Baja",'Mapa final'!$AN$29="Moderado"),CONCATENATE("R2C",'Mapa final'!$U$29),"")</f>
        <v/>
      </c>
      <c r="Z54" s="54" t="str">
        <f>IF(AND('Mapa final'!$AL$30="Muy Baja",'Mapa final'!$AN$30="Moderado"),CONCATENATE("R2C",'Mapa final'!$U$30),"")</f>
        <v/>
      </c>
      <c r="AA54" s="54" t="str">
        <f>IF(AND('Mapa final'!$AL$31="Muy Baja",'Mapa final'!$AN$31="Moderado"),CONCATENATE("R2C",'Mapa final'!$U$31),"")</f>
        <v/>
      </c>
      <c r="AB54" s="55" t="str">
        <f>IF(AND('Mapa final'!$AL$32="Muy Baja",'Mapa final'!$AN$32="Moderado"),CONCATENATE("R2C",'Mapa final'!$U$32),"")</f>
        <v/>
      </c>
      <c r="AC54" s="38" t="str">
        <f>IF(AND('Mapa final'!$AL$27="Muy Baja",'Mapa final'!$AN$27="Mayor"),CONCATENATE("R2C",'Mapa final'!$U$27),"")</f>
        <v/>
      </c>
      <c r="AD54" s="39" t="str">
        <f>IF(AND('Mapa final'!$AL$28="Muy Baja",'Mapa final'!$AN$28="Mayor"),CONCATENATE("R2C",'Mapa final'!$U$28),"")</f>
        <v/>
      </c>
      <c r="AE54" s="39" t="str">
        <f>IF(AND('Mapa final'!$AL$29="Muy Baja",'Mapa final'!$AN$29="Mayor"),CONCATENATE("R2C",'Mapa final'!$U$29),"")</f>
        <v/>
      </c>
      <c r="AF54" s="39" t="str">
        <f>IF(AND('Mapa final'!$AL$30="Muy Baja",'Mapa final'!$AN$30="Mayor"),CONCATENATE("R2C",'Mapa final'!$U$30),"")</f>
        <v/>
      </c>
      <c r="AG54" s="39" t="str">
        <f>IF(AND('Mapa final'!$AL$31="Muy Baja",'Mapa final'!$AN$31="Mayor"),CONCATENATE("R2C",'Mapa final'!$U$31),"")</f>
        <v/>
      </c>
      <c r="AH54" s="40" t="str">
        <f>IF(AND('Mapa final'!$AL$32="Muy Baja",'Mapa final'!$AN$32="Mayor"),CONCATENATE("R2C",'Mapa final'!$U$32),"")</f>
        <v/>
      </c>
      <c r="AI54" s="41" t="str">
        <f>IF(AND('Mapa final'!$AL$27="Muy Baja",'Mapa final'!$AN$27="Catastrófico"),CONCATENATE("R2C",'Mapa final'!$U$27),"")</f>
        <v/>
      </c>
      <c r="AJ54" s="42" t="str">
        <f>IF(AND('Mapa final'!$AL$28="Muy Baja",'Mapa final'!$AN$28="Catastrófico"),CONCATENATE("R2C",'Mapa final'!$U$28),"")</f>
        <v/>
      </c>
      <c r="AK54" s="42" t="str">
        <f>IF(AND('Mapa final'!$AL$29="Muy Baja",'Mapa final'!$AN$29="Catastrófico"),CONCATENATE("R2C",'Mapa final'!$U$29),"")</f>
        <v/>
      </c>
      <c r="AL54" s="42" t="str">
        <f>IF(AND('Mapa final'!$AL$30="Muy Baja",'Mapa final'!$AN$30="Catastrófico"),CONCATENATE("R2C",'Mapa final'!$U$30),"")</f>
        <v/>
      </c>
      <c r="AM54" s="42" t="str">
        <f>IF(AND('Mapa final'!$AL$31="Muy Baja",'Mapa final'!$AN$31="Catastrófico"),CONCATENATE("R2C",'Mapa final'!$U$31),"")</f>
        <v/>
      </c>
      <c r="AN54" s="43" t="str">
        <f>IF(AND('Mapa final'!$AL$32="Muy Baja",'Mapa final'!$AN$32="Catastrófico"),CONCATENATE("R2C",'Mapa final'!$U$32),"")</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c r="B55" s="69"/>
      <c r="C55" s="409"/>
      <c r="D55" s="409"/>
      <c r="E55" s="410"/>
      <c r="F55" s="501"/>
      <c r="G55" s="502"/>
      <c r="H55" s="502"/>
      <c r="I55" s="502"/>
      <c r="J55" s="503"/>
      <c r="K55" s="62" t="str">
        <f>IF(AND('Mapa final'!$AL$33="Muy Baja",'Mapa final'!$AN$33="Leve"),CONCATENATE("R2C",'Mapa final'!$U$33),"")</f>
        <v/>
      </c>
      <c r="L55" s="63" t="str">
        <f>IF(AND('Mapa final'!$AL$34="Muy Baja",'Mapa final'!$AN$34="Leve"),CONCATENATE("R2C",'Mapa final'!$U$34),"")</f>
        <v/>
      </c>
      <c r="M55" s="63" t="str">
        <f>IF(AND('Mapa final'!$AL$35="Muy Baja",'Mapa final'!$AN$35="Leve"),CONCATENATE("R2C",'Mapa final'!$U$35),"")</f>
        <v/>
      </c>
      <c r="N55" s="63" t="str">
        <f>IF(AND('Mapa final'!$AL$36="Muy Baja",'Mapa final'!$AN$36="Leve"),CONCATENATE("R2C",'Mapa final'!$U$36),"")</f>
        <v/>
      </c>
      <c r="O55" s="63" t="str">
        <f>IF(AND('Mapa final'!$AL$37="Muy Baja",'Mapa final'!$AN$37="Leve"),CONCATENATE("R2C",'Mapa final'!$U$37),"")</f>
        <v/>
      </c>
      <c r="P55" s="64" t="str">
        <f>IF(AND('Mapa final'!$AL$38="Muy Baja",'Mapa final'!$AN$38="Leve"),CONCATENATE("R2C",'Mapa final'!$U$38),"")</f>
        <v/>
      </c>
      <c r="Q55" s="62" t="str">
        <f>IF(AND('Mapa final'!$AL$33="Muy Baja",'Mapa final'!$AN$33="Menor"),CONCATENATE("R2C",'Mapa final'!$U$33),"")</f>
        <v/>
      </c>
      <c r="R55" s="63" t="str">
        <f>IF(AND('Mapa final'!$AL$34="Muy Baja",'Mapa final'!$AN$34="Menor"),CONCATENATE("R2C",'Mapa final'!$U$34),"")</f>
        <v/>
      </c>
      <c r="S55" s="63" t="str">
        <f>IF(AND('Mapa final'!$AL$35="Muy Baja",'Mapa final'!$AN$35="Menor"),CONCATENATE("R2C",'Mapa final'!$U$35),"")</f>
        <v/>
      </c>
      <c r="T55" s="63" t="str">
        <f>IF(AND('Mapa final'!$AL$36="Muy Baja",'Mapa final'!$AN$36="Menor"),CONCATENATE("R2C",'Mapa final'!$U$36),"")</f>
        <v/>
      </c>
      <c r="U55" s="63" t="str">
        <f>IF(AND('Mapa final'!$AL$37="Muy Baja",'Mapa final'!$AN$37="LMenor"),CONCATENATE("R2C",'Mapa final'!$U$37),"")</f>
        <v/>
      </c>
      <c r="V55" s="64" t="str">
        <f>IF(AND('Mapa final'!$AL$38="Muy Baja",'Mapa final'!$AN$38="Menor"),CONCATENATE("R2C",'Mapa final'!$U$38),"")</f>
        <v/>
      </c>
      <c r="W55" s="53" t="str">
        <f>IF(AND('Mapa final'!$AL$33="Muy Baja",'Mapa final'!$AN$33="Moderado"),CONCATENATE("R2C",'Mapa final'!$U$33),"")</f>
        <v/>
      </c>
      <c r="X55" s="54" t="str">
        <f>IF(AND('Mapa final'!$AL$34="Muy Baja",'Mapa final'!$AN$34="Moderado"),CONCATENATE("R2C",'Mapa final'!$U$34),"")</f>
        <v/>
      </c>
      <c r="Y55" s="54" t="str">
        <f>IF(AND('Mapa final'!$AL$35="Muy Baja",'Mapa final'!$AN$35="Moderado"),CONCATENATE("R2C",'Mapa final'!$U$35),"")</f>
        <v/>
      </c>
      <c r="Z55" s="54" t="str">
        <f>IF(AND('Mapa final'!$AL$36="Muy Baja",'Mapa final'!$AN$36="Moderado"),CONCATENATE("R2C",'Mapa final'!$U$36),"")</f>
        <v/>
      </c>
      <c r="AA55" s="54" t="str">
        <f>IF(AND('Mapa final'!$AL$37="Muy Baja",'Mapa final'!$AN$37="Moderado"),CONCATENATE("R2C",'Mapa final'!$U$37),"")</f>
        <v/>
      </c>
      <c r="AB55" s="55" t="str">
        <f>IF(AND('Mapa final'!$AL$38="Muy Baja",'Mapa final'!$AN$38="Moderado"),CONCATENATE("R2C",'Mapa final'!$U$38),"")</f>
        <v/>
      </c>
      <c r="AC55" s="38" t="str">
        <f>IF(AND('Mapa final'!$AL$33="Muy Baja",'Mapa final'!$AN$33="Mayor"),CONCATENATE("R2C",'Mapa final'!$U$33),"")</f>
        <v/>
      </c>
      <c r="AD55" s="39" t="str">
        <f>IF(AND('Mapa final'!$AL$34="Muy Baja",'Mapa final'!$AN$34="Mayor"),CONCATENATE("R2C",'Mapa final'!$U$34),"")</f>
        <v/>
      </c>
      <c r="AE55" s="39" t="str">
        <f>IF(AND('Mapa final'!$AL$35="Muy Baja",'Mapa final'!$AN$35="Mayor"),CONCATENATE("R2C",'Mapa final'!$U$35),"")</f>
        <v/>
      </c>
      <c r="AF55" s="39" t="str">
        <f>IF(AND('Mapa final'!$AL$36="Muy Baja",'Mapa final'!$AN$36="Mayor"),CONCATENATE("R2C",'Mapa final'!$U$36),"")</f>
        <v/>
      </c>
      <c r="AG55" s="39" t="str">
        <f>IF(AND('Mapa final'!$AL$37="Muy Baja",'Mapa final'!$AN$37="Mayor"),CONCATENATE("R2C",'Mapa final'!$U$37),"")</f>
        <v/>
      </c>
      <c r="AH55" s="40" t="str">
        <f>IF(AND('Mapa final'!$AL$38="Muy Baja",'Mapa final'!$AN$38="Mayor"),CONCATENATE("R2C",'Mapa final'!$U$38),"")</f>
        <v/>
      </c>
      <c r="AI55" s="41" t="str">
        <f>IF(AND('Mapa final'!$AL$33="Muy Baja",'Mapa final'!$AN$33="Catastrófico"),CONCATENATE("R2C",'Mapa final'!$U$33),"")</f>
        <v/>
      </c>
      <c r="AJ55" s="42" t="str">
        <f>IF(AND('Mapa final'!$AL$34="Muy Baja",'Mapa final'!$AN$34="Catastrófico"),CONCATENATE("R2C",'Mapa final'!$U$34),"")</f>
        <v/>
      </c>
      <c r="AK55" s="42" t="str">
        <f>IF(AND('Mapa final'!$AL$35="Muy Baja",'Mapa final'!$AN$35="Catastrófico"),CONCATENATE("R2C",'Mapa final'!$U$35),"")</f>
        <v/>
      </c>
      <c r="AL55" s="42" t="str">
        <f>IF(AND('Mapa final'!$AL$36="Muy Baja",'Mapa final'!$AN$36="Catastrófico"),CONCATENATE("R2C",'Mapa final'!$U$36),"")</f>
        <v/>
      </c>
      <c r="AM55" s="42" t="str">
        <f>IF(AND('Mapa final'!$AL$37="Muy Baja",'Mapa final'!$AN$37="LCatastrófico"),CONCATENATE("R2C",'Mapa final'!$U$37),"")</f>
        <v/>
      </c>
      <c r="AN55" s="43" t="str">
        <f>IF(AND('Mapa final'!$AL$38="Muy Baja",'Mapa final'!$AN$38="Catastrófico"),CONCATENATE("R2C",'Mapa final'!$U$38),"")</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c r="B56" s="69"/>
      <c r="C56" s="409"/>
      <c r="D56" s="409"/>
      <c r="E56" s="410"/>
      <c r="F56" s="501"/>
      <c r="G56" s="502"/>
      <c r="H56" s="502"/>
      <c r="I56" s="502"/>
      <c r="J56" s="503"/>
      <c r="K56" s="62" t="str">
        <f>IF(AND('Mapa final'!$AL$39="Muy Baja",'Mapa final'!$AN$39="Leve"),CONCATENATE("R2C",'Mapa final'!$U$39),"")</f>
        <v/>
      </c>
      <c r="L56" s="63" t="str">
        <f>IF(AND('Mapa final'!$AL$40="Muy Baja",'Mapa final'!$AN$40="Leve"),CONCATENATE("R2C",'Mapa final'!$U$40),"")</f>
        <v/>
      </c>
      <c r="M56" s="63" t="str">
        <f>IF(AND('Mapa final'!$AL$41="Muy Baja",'Mapa final'!$AN$41="Leve"),CONCATENATE("R2C",'Mapa final'!$U$41),"")</f>
        <v/>
      </c>
      <c r="N56" s="63" t="str">
        <f>IF(AND('Mapa final'!$AL$42="Muy Baja",'Mapa final'!$AN$42="Leve"),CONCATENATE("R2C",'Mapa final'!$U$42),"")</f>
        <v/>
      </c>
      <c r="O56" s="63" t="str">
        <f>IF(AND('Mapa final'!$AL$43="Muy Baja",'Mapa final'!$AN$43="Leve"),CONCATENATE("R2C",'Mapa final'!$U$43),"")</f>
        <v/>
      </c>
      <c r="P56" s="64" t="str">
        <f>IF(AND('Mapa final'!$AL$44="Muy Baja",'Mapa final'!$AN$44="Leve"),CONCATENATE("R2C",'Mapa final'!$U$44),"")</f>
        <v/>
      </c>
      <c r="Q56" s="62" t="str">
        <f>IF(AND('Mapa final'!$AL$39="Muy Baja",'Mapa final'!$AN$39="Menor"),CONCATENATE("R2C",'Mapa final'!$U$39),"")</f>
        <v/>
      </c>
      <c r="R56" s="63" t="str">
        <f>IF(AND('Mapa final'!$AL$40="Muy Baja",'Mapa final'!$AN$40="Menor"),CONCATENATE("R2C",'Mapa final'!$U$40),"")</f>
        <v/>
      </c>
      <c r="S56" s="63" t="str">
        <f>IF(AND('Mapa final'!$AL$41="Muy Baja",'Mapa final'!$AN$41="Menor"),CONCATENATE("R2C",'Mapa final'!$U$41),"")</f>
        <v/>
      </c>
      <c r="T56" s="63" t="str">
        <f>IF(AND('Mapa final'!$AL$42="Muy Baja",'Mapa final'!$AN$42="Menor"),CONCATENATE("R2C",'Mapa final'!$U$42),"")</f>
        <v/>
      </c>
      <c r="U56" s="63" t="str">
        <f>IF(AND('Mapa final'!$AL$43="Muy Baja",'Mapa final'!$AN$43="Menor"),CONCATENATE("R2C",'Mapa final'!$U$43),"")</f>
        <v/>
      </c>
      <c r="V56" s="64" t="str">
        <f>IF(AND('Mapa final'!$AL$44="Muy Baja",'Mapa final'!$AN$44="Menor"),CONCATENATE("R2C",'Mapa final'!$U$44),"")</f>
        <v/>
      </c>
      <c r="W56" s="53" t="str">
        <f>IF(AND('Mapa final'!$AL$39="Muy Baja",'Mapa final'!$AN$39="Moderado"),CONCATENATE("R2C",'Mapa final'!$U$39),"")</f>
        <v/>
      </c>
      <c r="X56" s="54" t="str">
        <f>IF(AND('Mapa final'!$AL$40="Muy Baja",'Mapa final'!$AN$40="Moderado"),CONCATENATE("R2C",'Mapa final'!$U$40),"")</f>
        <v/>
      </c>
      <c r="Y56" s="54" t="str">
        <f>IF(AND('Mapa final'!$AL$41="Muy Baja",'Mapa final'!$AN$41="Moderado"),CONCATENATE("R2C",'Mapa final'!$U$41),"")</f>
        <v/>
      </c>
      <c r="Z56" s="54" t="str">
        <f>IF(AND('Mapa final'!$AL$42="Muy Baja",'Mapa final'!$AN$42="Moderado"),CONCATENATE("R2C",'Mapa final'!$U$42),"")</f>
        <v/>
      </c>
      <c r="AA56" s="54" t="str">
        <f>IF(AND('Mapa final'!$AL$43="Muy Baja",'Mapa final'!$AN$43="Moderado"),CONCATENATE("R2C",'Mapa final'!$U$43),"")</f>
        <v/>
      </c>
      <c r="AB56" s="55" t="str">
        <f>IF(AND('Mapa final'!$AL$44="Muy Baja",'Mapa final'!$AN$44="Moderado"),CONCATENATE("R2C",'Mapa final'!$U$44),"")</f>
        <v/>
      </c>
      <c r="AC56" s="38" t="str">
        <f>IF(AND('Mapa final'!$AL$39="Muy Baja",'Mapa final'!$AN$39="Mayor"),CONCATENATE("R2C",'Mapa final'!$U$39),"")</f>
        <v/>
      </c>
      <c r="AD56" s="39" t="str">
        <f>IF(AND('Mapa final'!$AL$40="Muy Baja",'Mapa final'!$AN$40="Mayor"),CONCATENATE("R2C",'Mapa final'!$U$40),"")</f>
        <v/>
      </c>
      <c r="AE56" s="39" t="str">
        <f>IF(AND('Mapa final'!$AL$41="Muy Baja",'Mapa final'!$AN$41="Mayor"),CONCATENATE("R2C",'Mapa final'!$U$41),"")</f>
        <v/>
      </c>
      <c r="AF56" s="39" t="str">
        <f>IF(AND('Mapa final'!$AL$42="Muy Baja",'Mapa final'!$AN$42="Mayor"),CONCATENATE("R2C",'Mapa final'!$U$42),"")</f>
        <v/>
      </c>
      <c r="AG56" s="39" t="str">
        <f>IF(AND('Mapa final'!$AL$43="Muy Baja",'Mapa final'!$AN$43="Mayor"),CONCATENATE("R2C",'Mapa final'!$U$43),"")</f>
        <v/>
      </c>
      <c r="AH56" s="40" t="str">
        <f>IF(AND('Mapa final'!$AL$44="Muy Baja",'Mapa final'!$AN$44="Mayor"),CONCATENATE("R2C",'Mapa final'!$U$44),"")</f>
        <v/>
      </c>
      <c r="AI56" s="41" t="str">
        <f>IF(AND('Mapa final'!$AL$39="Muy Baja",'Mapa final'!$AN$39="Catastrófico"),CONCATENATE("R2C",'Mapa final'!$U$39),"")</f>
        <v/>
      </c>
      <c r="AJ56" s="42" t="str">
        <f>IF(AND('Mapa final'!$AL$40="Muy Baja",'Mapa final'!$AN$40="Catastrófico"),CONCATENATE("R2C",'Mapa final'!$U$40),"")</f>
        <v/>
      </c>
      <c r="AK56" s="42" t="str">
        <f>IF(AND('Mapa final'!$AL$41="Muy Baja",'Mapa final'!$AN$41="Catastrófico"),CONCATENATE("R2C",'Mapa final'!$U$41),"")</f>
        <v/>
      </c>
      <c r="AL56" s="42" t="str">
        <f>IF(AND('Mapa final'!$AL$42="Muy Baja",'Mapa final'!$AN$42="Catastrófico"),CONCATENATE("R2C",'Mapa final'!$U$42),"")</f>
        <v/>
      </c>
      <c r="AM56" s="42" t="str">
        <f>IF(AND('Mapa final'!$AL$43="Muy Baja",'Mapa final'!$AN$43="Catastrófico"),CONCATENATE("R2C",'Mapa final'!$U$43),"")</f>
        <v/>
      </c>
      <c r="AN56" s="43" t="str">
        <f>IF(AND('Mapa final'!$AL$44="Muy Baja",'Mapa final'!$AN$44="Catastrófico"),CONCATENATE("R2C",'Mapa final'!$U$44),"")</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c r="B57" s="69"/>
      <c r="C57" s="409"/>
      <c r="D57" s="409"/>
      <c r="E57" s="410"/>
      <c r="F57" s="501"/>
      <c r="G57" s="502"/>
      <c r="H57" s="502"/>
      <c r="I57" s="502"/>
      <c r="J57" s="503"/>
      <c r="K57" s="62" t="str">
        <f>IF(AND('Mapa final'!$AL$45="Muy Baja",'Mapa final'!$AN$45="Leve"),CONCATENATE("R2C",'Mapa final'!$U$45),"")</f>
        <v/>
      </c>
      <c r="L57" s="63" t="str">
        <f>IF(AND('Mapa final'!$AL$46="Muy Baja",'Mapa final'!$AN$46="Leve"),CONCATENATE("R2C",'Mapa final'!$U$46),"")</f>
        <v/>
      </c>
      <c r="M57" s="63" t="str">
        <f>IF(AND('Mapa final'!$AL$47="Muy Baja",'Mapa final'!$AN$47="Leve"),CONCATENATE("R2C",'Mapa final'!$U$47),"")</f>
        <v/>
      </c>
      <c r="N57" s="63" t="str">
        <f>IF(AND('Mapa final'!$AL$48="Muy Baja",'Mapa final'!$AN$48="Leve"),CONCATENATE("R2C",'Mapa final'!$U$48),"")</f>
        <v/>
      </c>
      <c r="O57" s="63" t="str">
        <f>IF(AND('Mapa final'!$AL$49="Muy Baja",'Mapa final'!$AN$49="Leve"),CONCATENATE("R2C",'Mapa final'!$U$49),"")</f>
        <v/>
      </c>
      <c r="P57" s="64" t="str">
        <f>IF(AND('Mapa final'!$AL$60="Muy Baja",'Mapa final'!$AN$50="Leve"),CONCATENATE("R2C",'Mapa final'!$U$50),"")</f>
        <v/>
      </c>
      <c r="Q57" s="62" t="str">
        <f>IF(AND('Mapa final'!$AL$45="Muy Baja",'Mapa final'!$AN$45="Menor"),CONCATENATE("R2C",'Mapa final'!$U$45),"")</f>
        <v/>
      </c>
      <c r="R57" s="63" t="str">
        <f>IF(AND('Mapa final'!$AL$46="Muy Baja",'Mapa final'!$AN$46="Menor"),CONCATENATE("R2C",'Mapa final'!$U$46),"")</f>
        <v/>
      </c>
      <c r="S57" s="63" t="str">
        <f>IF(AND('Mapa final'!$AL$47="Muy Baja",'Mapa final'!$AN$47="Menor"),CONCATENATE("R2C",'Mapa final'!$U$47),"")</f>
        <v/>
      </c>
      <c r="T57" s="63" t="str">
        <f>IF(AND('Mapa final'!$AL$48="Muy Baja",'Mapa final'!$AN$48="Menor"),CONCATENATE("R2C",'Mapa final'!$U$48),"")</f>
        <v/>
      </c>
      <c r="U57" s="63" t="str">
        <f>IF(AND('Mapa final'!$AL$49="Muy Baja",'Mapa final'!$AN$49="Menor"),CONCATENATE("R2C",'Mapa final'!$U$49),"")</f>
        <v/>
      </c>
      <c r="V57" s="64" t="str">
        <f>IF(AND('Mapa final'!$AL$60="Muy Baja",'Mapa final'!$AN$50="Menor"),CONCATENATE("R2C",'Mapa final'!$U$50),"")</f>
        <v/>
      </c>
      <c r="W57" s="53" t="str">
        <f>IF(AND('Mapa final'!$AL$45="Muy Baja",'Mapa final'!$AN$45="Moderado"),CONCATENATE("R2C",'Mapa final'!$U$45),"")</f>
        <v/>
      </c>
      <c r="X57" s="54" t="str">
        <f>IF(AND('Mapa final'!$AL$46="Muy Baja",'Mapa final'!$AN$46="Moderado"),CONCATENATE("R2C",'Mapa final'!$U$46),"")</f>
        <v/>
      </c>
      <c r="Y57" s="54" t="str">
        <f>IF(AND('Mapa final'!$AL$47="Muy Baja",'Mapa final'!$AN$47="Moderado"),CONCATENATE("R2C",'Mapa final'!$U$47),"")</f>
        <v/>
      </c>
      <c r="Z57" s="54" t="str">
        <f>IF(AND('Mapa final'!$AL$48="Muy Baja",'Mapa final'!$AN$48="Moderado"),CONCATENATE("R2C",'Mapa final'!$U$48),"")</f>
        <v/>
      </c>
      <c r="AA57" s="54" t="str">
        <f>IF(AND('Mapa final'!$AL$49="Muy Baja",'Mapa final'!$AN$49="Moderado"),CONCATENATE("R2C",'Mapa final'!$U$49),"")</f>
        <v/>
      </c>
      <c r="AB57" s="55" t="str">
        <f>IF(AND('Mapa final'!$AL$60="Muy Baja",'Mapa final'!$AN$50="Moderado"),CONCATENATE("R2C",'Mapa final'!$U$50),"")</f>
        <v/>
      </c>
      <c r="AC57" s="38" t="str">
        <f>IF(AND('Mapa final'!$AL$45="Muy Baja",'Mapa final'!$AN$45="Mayor"),CONCATENATE("R2C",'Mapa final'!$U$45),"")</f>
        <v/>
      </c>
      <c r="AD57" s="39" t="str">
        <f>IF(AND('Mapa final'!$AL$46="Muy Baja",'Mapa final'!$AN$46="Mayor"),CONCATENATE("R2C",'Mapa final'!$U$46),"")</f>
        <v/>
      </c>
      <c r="AE57" s="39" t="str">
        <f>IF(AND('Mapa final'!$AL$47="Muy Baja",'Mapa final'!$AN$47="Mayor"),CONCATENATE("R2C",'Mapa final'!$U$47),"")</f>
        <v/>
      </c>
      <c r="AF57" s="39" t="str">
        <f>IF(AND('Mapa final'!$AL$48="Muy Baja",'Mapa final'!$AN$48="Mayor"),CONCATENATE("R2C",'Mapa final'!$U$48),"")</f>
        <v/>
      </c>
      <c r="AG57" s="39" t="str">
        <f>IF(AND('Mapa final'!$AL$49="Muy Baja",'Mapa final'!$AN$49="Mayor"),CONCATENATE("R2C",'Mapa final'!$U$49),"")</f>
        <v/>
      </c>
      <c r="AH57" s="40" t="str">
        <f>IF(AND('Mapa final'!$AL$60="Muy Baja",'Mapa final'!$AN$50="Mayor"),CONCATENATE("R2C",'Mapa final'!$U$50),"")</f>
        <v/>
      </c>
      <c r="AI57" s="41" t="str">
        <f>IF(AND('Mapa final'!$AL$45="Muy Baja",'Mapa final'!$AN$45="Catastrófico"),CONCATENATE("R2C",'Mapa final'!$U$45),"")</f>
        <v/>
      </c>
      <c r="AJ57" s="42" t="str">
        <f>IF(AND('Mapa final'!$AL$46="Muy Baja",'Mapa final'!$AN$46="Catastrófico"),CONCATENATE("R2C",'Mapa final'!$U$46),"")</f>
        <v/>
      </c>
      <c r="AK57" s="42" t="str">
        <f>IF(AND('Mapa final'!$AL$47="Muy Baja",'Mapa final'!$AN$47="Catastrófico"),CONCATENATE("R2C",'Mapa final'!$U$47),"")</f>
        <v/>
      </c>
      <c r="AL57" s="42" t="str">
        <f>IF(AND('Mapa final'!$AL$48="Muy Baja",'Mapa final'!$AN$48="Catastrófico"),CONCATENATE("R2C",'Mapa final'!$U$48),"")</f>
        <v/>
      </c>
      <c r="AM57" s="42" t="str">
        <f>IF(AND('Mapa final'!$AL$49="Muy Baja",'Mapa final'!$AN$49="Catastrófico"),CONCATENATE("R2C",'Mapa final'!$U$49),"")</f>
        <v/>
      </c>
      <c r="AN57" s="43" t="str">
        <f>IF(AND('Mapa final'!$AL$60="Muy Baja",'Mapa final'!$AN$50="Catastrófico"),CONCATENATE("R2C",'Mapa final'!$U$50),"")</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c r="B58" s="69"/>
      <c r="C58" s="409"/>
      <c r="D58" s="409"/>
      <c r="E58" s="410"/>
      <c r="F58" s="501"/>
      <c r="G58" s="502"/>
      <c r="H58" s="502"/>
      <c r="I58" s="502"/>
      <c r="J58" s="503"/>
      <c r="K58" s="62" t="str">
        <f>IF(AND('Mapa final'!$AL$51="Muy Baja",'Mapa final'!$AN$51="Leve"),CONCATENATE("R2C",'Mapa final'!$U$51),"")</f>
        <v/>
      </c>
      <c r="L58" s="63" t="str">
        <f>IF(AND('Mapa final'!$AL$52="Muy Baja",'Mapa final'!$AN$52="Leve"),CONCATENATE("R2C",'Mapa final'!$U$52),"")</f>
        <v/>
      </c>
      <c r="M58" s="63" t="str">
        <f>IF(AND('Mapa final'!$AL$53="Muy Baja",'Mapa final'!$AN$53="Leve"),CONCATENATE("R2C",'Mapa final'!$U$53),"")</f>
        <v/>
      </c>
      <c r="N58" s="63" t="str">
        <f>IF(AND('Mapa final'!$AL$54="Muy Baja",'Mapa final'!$AN$54="Leve"),CONCATENATE("R2C",'Mapa final'!$U$54),"")</f>
        <v/>
      </c>
      <c r="O58" s="63" t="str">
        <f>IF(AND('Mapa final'!$AL$55="Muy Baja",'Mapa final'!$AN$55="Leve"),CONCATENATE("R2C",'Mapa final'!$U$55),"")</f>
        <v/>
      </c>
      <c r="P58" s="64" t="str">
        <f>IF(AND('Mapa final'!$AL$56="Muy Baja",'Mapa final'!$AN$56="Leve"),CONCATENATE("R2C",'Mapa final'!$U$56),"")</f>
        <v/>
      </c>
      <c r="Q58" s="62" t="str">
        <f>IF(AND('Mapa final'!$AL$51="Muy Baja",'Mapa final'!$AN$51="Menor"),CONCATENATE("R2C",'Mapa final'!$U$51),"")</f>
        <v/>
      </c>
      <c r="R58" s="63" t="str">
        <f>IF(AND('Mapa final'!$AL$52="Muy Baja",'Mapa final'!$AN$52="Menor"),CONCATENATE("R2C",'Mapa final'!$U$52),"")</f>
        <v/>
      </c>
      <c r="S58" s="63" t="str">
        <f>IF(AND('Mapa final'!$AL$53="Muy Baja",'Mapa final'!$AN$53="Menor"),CONCATENATE("R2C",'Mapa final'!$U$53),"")</f>
        <v/>
      </c>
      <c r="T58" s="63" t="str">
        <f>IF(AND('Mapa final'!$AL$54="Muy Baja",'Mapa final'!$AN$54="Menor"),CONCATENATE("R2C",'Mapa final'!$U$54),"")</f>
        <v/>
      </c>
      <c r="U58" s="63" t="str">
        <f>IF(AND('Mapa final'!$AL$55="Muy Baja",'Mapa final'!$AN$55="Menor"),CONCATENATE("R2C",'Mapa final'!$U$55),"")</f>
        <v/>
      </c>
      <c r="V58" s="64" t="str">
        <f>IF(AND('Mapa final'!$AL$56="Muy Baja",'Mapa final'!$AN$56="Menor"),CONCATENATE("R2C",'Mapa final'!$U$56),"")</f>
        <v/>
      </c>
      <c r="W58" s="53" t="str">
        <f>IF(AND('Mapa final'!$AL$51="Muy Baja",'Mapa final'!$AN$51="Moderado"),CONCATENATE("R2C",'Mapa final'!$U$51),"")</f>
        <v/>
      </c>
      <c r="X58" s="54" t="str">
        <f>IF(AND('Mapa final'!$AL$52="Muy Baja",'Mapa final'!$AN$52="Moderado"),CONCATENATE("R2C",'Mapa final'!$U$52),"")</f>
        <v/>
      </c>
      <c r="Y58" s="54" t="str">
        <f>IF(AND('Mapa final'!$AL$53="Muy Baja",'Mapa final'!$AN$53="Moderado"),CONCATENATE("R2C",'Mapa final'!$U$53),"")</f>
        <v/>
      </c>
      <c r="Z58" s="54" t="str">
        <f>IF(AND('Mapa final'!$AL$54="Muy Baja",'Mapa final'!$AN$54="Moderado"),CONCATENATE("R2C",'Mapa final'!$U$54),"")</f>
        <v/>
      </c>
      <c r="AA58" s="54" t="str">
        <f>IF(AND('Mapa final'!$AL$55="Muy Baja",'Mapa final'!$AN$55="Moderado"),CONCATENATE("R2C",'Mapa final'!$U$55),"")</f>
        <v/>
      </c>
      <c r="AB58" s="55" t="str">
        <f>IF(AND('Mapa final'!$AL$56="Muy Baja",'Mapa final'!$AN$56="Moderado"),CONCATENATE("R2C",'Mapa final'!$U$56),"")</f>
        <v/>
      </c>
      <c r="AC58" s="38" t="str">
        <f>IF(AND('Mapa final'!$AL$51="Muy Baja",'Mapa final'!$AN$51="Mayor"),CONCATENATE("R2C",'Mapa final'!$U$51),"")</f>
        <v/>
      </c>
      <c r="AD58" s="39" t="str">
        <f>IF(AND('Mapa final'!$AL$52="Muy Baja",'Mapa final'!$AN$52="Mayor"),CONCATENATE("R2C",'Mapa final'!$U$52),"")</f>
        <v/>
      </c>
      <c r="AE58" s="39" t="str">
        <f>IF(AND('Mapa final'!$AL$53="Muy Baja",'Mapa final'!$AN$53="Mayor"),CONCATENATE("R2C",'Mapa final'!$U$53),"")</f>
        <v/>
      </c>
      <c r="AF58" s="39" t="str">
        <f>IF(AND('Mapa final'!$AL$54="Muy Baja",'Mapa final'!$AN$54="Mayor"),CONCATENATE("R2C",'Mapa final'!$U$54),"")</f>
        <v/>
      </c>
      <c r="AG58" s="39" t="str">
        <f>IF(AND('Mapa final'!$AL$55="Muy Baja",'Mapa final'!$AN$55="Mayor"),CONCATENATE("R2C",'Mapa final'!$U$55),"")</f>
        <v/>
      </c>
      <c r="AH58" s="40" t="str">
        <f>IF(AND('Mapa final'!$AL$56="Muy Baja",'Mapa final'!$AN$56="Mayor"),CONCATENATE("R2C",'Mapa final'!$U$56),"")</f>
        <v/>
      </c>
      <c r="AI58" s="41" t="str">
        <f>IF(AND('Mapa final'!$AL$51="Muy Baja",'Mapa final'!$AN$51="Catastrófico"),CONCATENATE("R2C",'Mapa final'!$U$51),"")</f>
        <v/>
      </c>
      <c r="AJ58" s="42" t="str">
        <f>IF(AND('Mapa final'!$AL$52="Muy Baja",'Mapa final'!$AN$52="Catastrófico"),CONCATENATE("R2C",'Mapa final'!$U$52),"")</f>
        <v/>
      </c>
      <c r="AK58" s="42" t="str">
        <f>IF(AND('Mapa final'!$AL$53="Muy Baja",'Mapa final'!$AN$53="Catastrófico"),CONCATENATE("R2C",'Mapa final'!$U$53),"")</f>
        <v/>
      </c>
      <c r="AL58" s="42" t="str">
        <f>IF(AND('Mapa final'!$AL$54="Muy Baja",'Mapa final'!$AN$54="Catastrófico"),CONCATENATE("R2C",'Mapa final'!$U$54),"")</f>
        <v/>
      </c>
      <c r="AM58" s="42" t="str">
        <f>IF(AND('Mapa final'!$AL$55="Muy Baja",'Mapa final'!$AN$55="Catastrófico"),CONCATENATE("R2C",'Mapa final'!$U$55),"")</f>
        <v/>
      </c>
      <c r="AN58" s="43" t="str">
        <f>IF(AND('Mapa final'!$AL$56="Muy Baja",'Mapa final'!$AN$56="Catastrófico"),CONCATENATE("R2C",'Mapa final'!$U$56),"")</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c r="B59" s="69"/>
      <c r="C59" s="409"/>
      <c r="D59" s="409"/>
      <c r="E59" s="410"/>
      <c r="F59" s="501"/>
      <c r="G59" s="502"/>
      <c r="H59" s="502"/>
      <c r="I59" s="502"/>
      <c r="J59" s="503"/>
      <c r="K59" s="62" t="str">
        <f>IF(AND('Mapa final'!$AL$57="Muy Baja",'Mapa final'!$AN$57="Leve"),CONCATENATE("R2C",'Mapa final'!$U$57),"")</f>
        <v/>
      </c>
      <c r="L59" s="63" t="str">
        <f>IF(AND('Mapa final'!$AL$58="Muy Baja",'Mapa final'!$AN$58="Leve"),CONCATENATE("R2C",'Mapa final'!$U$58),"")</f>
        <v/>
      </c>
      <c r="M59" s="63" t="str">
        <f>IF(AND('Mapa final'!$AL$59="Muy Baja",'Mapa final'!$AN$59="Leve"),CONCATENATE("R2C",'Mapa final'!$U$59),"")</f>
        <v/>
      </c>
      <c r="N59" s="63" t="str">
        <f>IF(AND('Mapa final'!$AL$60="Muy Baja",'Mapa final'!$AN$60="Leve"),CONCATENATE("R2C",'Mapa final'!$U$60),"")</f>
        <v/>
      </c>
      <c r="O59" s="63" t="str">
        <f>IF(AND('Mapa final'!$AL$61="Muy Baja",'Mapa final'!$AN$61="Leve"),CONCATENATE("R2C",'Mapa final'!$U$61),"")</f>
        <v/>
      </c>
      <c r="P59" s="64" t="str">
        <f>IF(AND('Mapa final'!$AL$62="Muy Baja",'Mapa final'!$AN$62="Leve"),CONCATENATE("R2C",'Mapa final'!$U$62),"")</f>
        <v/>
      </c>
      <c r="Q59" s="62" t="str">
        <f>IF(AND('Mapa final'!$AL$57="Muy Baja",'Mapa final'!$AN$57="Menor"),CONCATENATE("R2C",'Mapa final'!$U$57),"")</f>
        <v/>
      </c>
      <c r="R59" s="63" t="str">
        <f>IF(AND('Mapa final'!$AL$58="Muy Baja",'Mapa final'!$AN$58="Menor"),CONCATENATE("R2C",'Mapa final'!$U$58),"")</f>
        <v/>
      </c>
      <c r="S59" s="63" t="str">
        <f>IF(AND('Mapa final'!$AL$59="Muy Baja",'Mapa final'!$AN$59="Menor"),CONCATENATE("R2C",'Mapa final'!$U$59),"")</f>
        <v/>
      </c>
      <c r="T59" s="63" t="str">
        <f>IF(AND('Mapa final'!$AL$60="Muy Baja",'Mapa final'!$AN$60="Menor"),CONCATENATE("R2C",'Mapa final'!$U$60),"")</f>
        <v/>
      </c>
      <c r="U59" s="63" t="str">
        <f>IF(AND('Mapa final'!$AL$61="Muy Baja",'Mapa final'!$AN$61="Menor"),CONCATENATE("R2C",'Mapa final'!$U$61),"")</f>
        <v/>
      </c>
      <c r="V59" s="64" t="str">
        <f>IF(AND('Mapa final'!$AL$62="Muy Baja",'Mapa final'!$AN$62="Menor"),CONCATENATE("R2C",'Mapa final'!$U$62),"")</f>
        <v/>
      </c>
      <c r="W59" s="53" t="str">
        <f>IF(AND('Mapa final'!$AL$57="Muy Baja",'Mapa final'!$AN$57="Moderado"),CONCATENATE("R2C",'Mapa final'!$U$57),"")</f>
        <v/>
      </c>
      <c r="X59" s="54" t="str">
        <f>IF(AND('Mapa final'!$AL$58="Muy Baja",'Mapa final'!$AN$58="Moderado"),CONCATENATE("R2C",'Mapa final'!$U$58),"")</f>
        <v/>
      </c>
      <c r="Y59" s="54" t="str">
        <f>IF(AND('Mapa final'!$AL$59="Muy Baja",'Mapa final'!$AN$59="Moderado"),CONCATENATE("R2C",'Mapa final'!$U$59),"")</f>
        <v/>
      </c>
      <c r="Z59" s="54" t="str">
        <f>IF(AND('Mapa final'!$AL$60="Muy Baja",'Mapa final'!$AN$60="Moderado"),CONCATENATE("R2C",'Mapa final'!$U$60),"")</f>
        <v/>
      </c>
      <c r="AA59" s="54" t="str">
        <f>IF(AND('Mapa final'!$AL$61="Muy Baja",'Mapa final'!$AN$61="Moderado"),CONCATENATE("R2C",'Mapa final'!$U$61),"")</f>
        <v/>
      </c>
      <c r="AB59" s="55" t="str">
        <f>IF(AND('Mapa final'!$AL$62="Muy Baja",'Mapa final'!$AN$62="Moderado"),CONCATENATE("R2C",'Mapa final'!$U$62),"")</f>
        <v/>
      </c>
      <c r="AC59" s="38" t="str">
        <f>IF(AND('Mapa final'!$AL$57="Muy Baja",'Mapa final'!$AN$57="Mayor"),CONCATENATE("R2C",'Mapa final'!$U$57),"")</f>
        <v/>
      </c>
      <c r="AD59" s="39" t="str">
        <f>IF(AND('Mapa final'!$AL$58="Muy Baja",'Mapa final'!$AN$58="Mayor"),CONCATENATE("R2C",'Mapa final'!$U$58),"")</f>
        <v/>
      </c>
      <c r="AE59" s="39" t="str">
        <f>IF(AND('Mapa final'!$AL$59="Muy Baja",'Mapa final'!$AN$59="Mayor"),CONCATENATE("R2C",'Mapa final'!$U$59),"")</f>
        <v/>
      </c>
      <c r="AF59" s="39" t="str">
        <f>IF(AND('Mapa final'!$AL$60="Muy Baja",'Mapa final'!$AN$60="Mayor"),CONCATENATE("R2C",'Mapa final'!$U$60),"")</f>
        <v/>
      </c>
      <c r="AG59" s="39" t="str">
        <f>IF(AND('Mapa final'!$AL$61="Muy Baja",'Mapa final'!$AN$61="Mayor"),CONCATENATE("R2C",'Mapa final'!$U$61),"")</f>
        <v/>
      </c>
      <c r="AH59" s="40" t="str">
        <f>IF(AND('Mapa final'!$AL$62="Muy Baja",'Mapa final'!$AN$62="Mayor"),CONCATENATE("R2C",'Mapa final'!$U$62),"")</f>
        <v/>
      </c>
      <c r="AI59" s="41" t="str">
        <f>IF(AND('Mapa final'!$AL$57="Muy Baja",'Mapa final'!$AN$57="Catastrófico"),CONCATENATE("R2C",'Mapa final'!$U$57),"")</f>
        <v/>
      </c>
      <c r="AJ59" s="42" t="str">
        <f>IF(AND('Mapa final'!$AL$58="Muy Baja",'Mapa final'!$AN$58="Catastrófico"),CONCATENATE("R2C",'Mapa final'!$U$58),"")</f>
        <v/>
      </c>
      <c r="AK59" s="42" t="str">
        <f>IF(AND('Mapa final'!$AL$59="Muy Baja",'Mapa final'!$AN$59="Catastrófico"),CONCATENATE("R2C",'Mapa final'!$U$59),"")</f>
        <v/>
      </c>
      <c r="AL59" s="42" t="str">
        <f>IF(AND('Mapa final'!$AL$60="Muy Baja",'Mapa final'!$AN$60="Catastrófico"),CONCATENATE("R2C",'Mapa final'!$U$60),"")</f>
        <v/>
      </c>
      <c r="AM59" s="42" t="str">
        <f>IF(AND('Mapa final'!$AL$61="Muy Baja",'Mapa final'!$AN$61="Catastrófico"),CONCATENATE("R2C",'Mapa final'!$U$61),"")</f>
        <v/>
      </c>
      <c r="AN59" s="43" t="str">
        <f>IF(AND('Mapa final'!$AL$62="Muy Baja",'Mapa final'!$AN$62="Catastrófico"),CONCATENATE("R2C",'Mapa final'!$U$62),"")</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c r="B60" s="69"/>
      <c r="C60" s="409"/>
      <c r="D60" s="409"/>
      <c r="E60" s="410"/>
      <c r="F60" s="501"/>
      <c r="G60" s="502"/>
      <c r="H60" s="502"/>
      <c r="I60" s="502"/>
      <c r="J60" s="503"/>
      <c r="K60" s="62" t="str">
        <f>IF(AND('Mapa final'!$AL$63="Muy Baja",'Mapa final'!$AN$63="Leve"),CONCATENATE("R2C",'Mapa final'!$U$63),"")</f>
        <v/>
      </c>
      <c r="L60" s="63" t="str">
        <f>IF(AND('Mapa final'!$AL$64="Muy Baja",'Mapa final'!$AN$64="Leve"),CONCATENATE("R2C",'Mapa final'!$U$64),"")</f>
        <v/>
      </c>
      <c r="M60" s="63" t="str">
        <f>IF(AND('Mapa final'!$AL$65="Muy Baja",'Mapa final'!$AN$65="Leve"),CONCATENATE("R2C",'Mapa final'!$U$65),"")</f>
        <v/>
      </c>
      <c r="N60" s="63" t="str">
        <f>IF(AND('Mapa final'!$AL$66="Muy Baja",'Mapa final'!$AN$66="Leve"),CONCATENATE("R2C",'Mapa final'!$U$66),"")</f>
        <v/>
      </c>
      <c r="O60" s="63" t="str">
        <f>IF(AND('Mapa final'!$AL$67="Muy Baja",'Mapa final'!$AN$67="Leve"),CONCATENATE("R2C",'Mapa final'!$U$67),"")</f>
        <v/>
      </c>
      <c r="P60" s="64" t="str">
        <f>IF(AND('Mapa final'!$AL$68="Muy Baja",'Mapa final'!$AN$68="Leve"),CONCATENATE("R2C",'Mapa final'!$U$68),"")</f>
        <v/>
      </c>
      <c r="Q60" s="62" t="str">
        <f>IF(AND('Mapa final'!$AL$63="Muy Baja",'Mapa final'!$AN$63="Menor"),CONCATENATE("R2C",'Mapa final'!$U$63),"")</f>
        <v/>
      </c>
      <c r="R60" s="63" t="str">
        <f>IF(AND('Mapa final'!$AL$64="Muy Baja",'Mapa final'!$AN$64="Menor"),CONCATENATE("R2C",'Mapa final'!$U$64),"")</f>
        <v/>
      </c>
      <c r="S60" s="63" t="str">
        <f>IF(AND('Mapa final'!$AL$65="Muy Baja",'Mapa final'!$AN$65="Menor"),CONCATENATE("R2C",'Mapa final'!$U$65),"")</f>
        <v/>
      </c>
      <c r="T60" s="63" t="str">
        <f>IF(AND('Mapa final'!$AL$66="Muy Baja",'Mapa final'!$AN$66="Menor"),CONCATENATE("R2C",'Mapa final'!$U$66),"")</f>
        <v/>
      </c>
      <c r="U60" s="63" t="str">
        <f>IF(AND('Mapa final'!$AL$67="Muy Baja",'Mapa final'!$AN$67="Menor"),CONCATENATE("R2C",'Mapa final'!$U$67),"")</f>
        <v/>
      </c>
      <c r="V60" s="64" t="str">
        <f>IF(AND('Mapa final'!$AL$68="Muy Baja",'Mapa final'!$AN$68="Menor"),CONCATENATE("R2C",'Mapa final'!$U$68),"")</f>
        <v/>
      </c>
      <c r="W60" s="53" t="str">
        <f>IF(AND('Mapa final'!$AL$63="Muy Baja",'Mapa final'!$AN$63="Moderado"),CONCATENATE("R2C",'Mapa final'!$U$63),"")</f>
        <v/>
      </c>
      <c r="X60" s="54" t="str">
        <f>IF(AND('Mapa final'!$AL$64="Muy Baja",'Mapa final'!$AN$64="Moderado"),CONCATENATE("R2C",'Mapa final'!$U$64),"")</f>
        <v/>
      </c>
      <c r="Y60" s="54" t="str">
        <f>IF(AND('Mapa final'!$AL$65="Muy Baja",'Mapa final'!$AN$65="Moderado"),CONCATENATE("R2C",'Mapa final'!$U$65),"")</f>
        <v/>
      </c>
      <c r="Z60" s="54" t="str">
        <f>IF(AND('Mapa final'!$AL$66="Muy Baja",'Mapa final'!$AN$66="Moderado"),CONCATENATE("R2C",'Mapa final'!$U$66),"")</f>
        <v/>
      </c>
      <c r="AA60" s="54" t="str">
        <f>IF(AND('Mapa final'!$AL$67="Muy Baja",'Mapa final'!$AN$67="Moderado"),CONCATENATE("R2C",'Mapa final'!$U$67),"")</f>
        <v/>
      </c>
      <c r="AB60" s="55" t="str">
        <f>IF(AND('Mapa final'!$AL$68="Muy Baja",'Mapa final'!$AN$68="Moderado"),CONCATENATE("R2C",'Mapa final'!$U$68),"")</f>
        <v/>
      </c>
      <c r="AC60" s="38" t="str">
        <f>IF(AND('Mapa final'!$AL$63="Muy Baja",'Mapa final'!$AN$63="Mayor"),CONCATENATE("R2C",'Mapa final'!$U$63),"")</f>
        <v/>
      </c>
      <c r="AD60" s="39" t="str">
        <f>IF(AND('Mapa final'!$AL$64="Muy Baja",'Mapa final'!$AN$64="Mayor"),CONCATENATE("R2C",'Mapa final'!$U$64),"")</f>
        <v/>
      </c>
      <c r="AE60" s="39" t="str">
        <f>IF(AND('Mapa final'!$AL$65="Muy Baja",'Mapa final'!$AN$65="Mayor"),CONCATENATE("R2C",'Mapa final'!$U$65),"")</f>
        <v/>
      </c>
      <c r="AF60" s="39" t="str">
        <f>IF(AND('Mapa final'!$AL$66="Muy Baja",'Mapa final'!$AN$66="Mayor"),CONCATENATE("R2C",'Mapa final'!$U$66),"")</f>
        <v/>
      </c>
      <c r="AG60" s="39" t="str">
        <f>IF(AND('Mapa final'!$AL$67="Muy Baja",'Mapa final'!$AN$67="Mayor"),CONCATENATE("R2C",'Mapa final'!$U$67),"")</f>
        <v/>
      </c>
      <c r="AH60" s="40" t="str">
        <f>IF(AND('Mapa final'!$AL$68="Muy Baja",'Mapa final'!$AN$68="Mayor"),CONCATENATE("R2C",'Mapa final'!$U$68),"")</f>
        <v/>
      </c>
      <c r="AI60" s="41" t="str">
        <f>IF(AND('Mapa final'!$AL$63="Muy Baja",'Mapa final'!$AN$63="Catastrófico"),CONCATENATE("R2C",'Mapa final'!$U$63),"")</f>
        <v/>
      </c>
      <c r="AJ60" s="42" t="str">
        <f>IF(AND('Mapa final'!$AL$64="Muy Baja",'Mapa final'!$AN$64="Catastrófico"),CONCATENATE("R2C",'Mapa final'!$U$64),"")</f>
        <v/>
      </c>
      <c r="AK60" s="42" t="str">
        <f>IF(AND('Mapa final'!$AL$65="Muy Baja",'Mapa final'!$AN$65="Catastrófico"),CONCATENATE("R2C",'Mapa final'!$U$65),"")</f>
        <v/>
      </c>
      <c r="AL60" s="42" t="str">
        <f>IF(AND('Mapa final'!$AL$66="Muy Baja",'Mapa final'!$AN$66="Catastrófico"),CONCATENATE("R2C",'Mapa final'!$U$66),"")</f>
        <v/>
      </c>
      <c r="AM60" s="42" t="str">
        <f>IF(AND('Mapa final'!$AL$67="Muy Baja",'Mapa final'!$AN$67="Catastrófico"),CONCATENATE("R2C",'Mapa final'!$U$67),"")</f>
        <v/>
      </c>
      <c r="AN60" s="43" t="str">
        <f>IF(AND('Mapa final'!$AL$68="Muy Baja",'Mapa final'!$AN$68="Catastrófico"),CONCATENATE("R2C",'Mapa final'!$U$68),"")</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c r="B61" s="69"/>
      <c r="C61" s="409"/>
      <c r="D61" s="409"/>
      <c r="E61" s="410"/>
      <c r="F61" s="504"/>
      <c r="G61" s="505"/>
      <c r="H61" s="505"/>
      <c r="I61" s="505"/>
      <c r="J61" s="506"/>
      <c r="K61" s="65" t="str">
        <f>IF(AND('Mapa final'!$AL$69="Muy Baja",'Mapa final'!$AN$69="Leve"),CONCATENATE("R2C",'Mapa final'!$U$69),"")</f>
        <v/>
      </c>
      <c r="L61" s="66" t="str">
        <f>IF(AND('Mapa final'!$AL$70="Muy Baja",'Mapa final'!$AN$70="Leve"),CONCATENATE("R2C",'Mapa final'!$U$70),"")</f>
        <v/>
      </c>
      <c r="M61" s="66" t="str">
        <f>IF(AND('Mapa final'!$AL$71="Muy Baja",'Mapa final'!$AN$71="Leve"),CONCATENATE("R2C",'Mapa final'!$U$71),"")</f>
        <v/>
      </c>
      <c r="N61" s="66" t="str">
        <f>IF(AND('Mapa final'!$AL$72="Muy Baja",'Mapa final'!$AN$72="Leve"),CONCATENATE("R2C",'Mapa final'!$U$72),"")</f>
        <v/>
      </c>
      <c r="O61" s="66" t="str">
        <f>IF(AND('Mapa final'!$AL$74="Muy Baja",'Mapa final'!$AN$74="Leve"),CONCATENATE("R2C",'Mapa final'!$U$74),"")</f>
        <v/>
      </c>
      <c r="P61" s="67" t="str">
        <f>IF(AND('Mapa final'!$AL$75="Muy Baja",'Mapa final'!$AN$75="Leve"),CONCATENATE("R2C",'Mapa final'!$U$75),"")</f>
        <v/>
      </c>
      <c r="Q61" s="65" t="str">
        <f>IF(AND('Mapa final'!$AL$69="Muy Baja",'Mapa final'!$AN$69="Menor"),CONCATENATE("R2C",'Mapa final'!$U$69),"")</f>
        <v/>
      </c>
      <c r="R61" s="66" t="str">
        <f>IF(AND('Mapa final'!$AL$70="Muy Baja",'Mapa final'!$AN$70="Menor"),CONCATENATE("R2C",'Mapa final'!$U$70),"")</f>
        <v/>
      </c>
      <c r="S61" s="66" t="str">
        <f>IF(AND('Mapa final'!$AL$71="Muy Baja",'Mapa final'!$AN$71="Menor"),CONCATENATE("R2C",'Mapa final'!$U$71),"")</f>
        <v/>
      </c>
      <c r="T61" s="66" t="str">
        <f>IF(AND('Mapa final'!$AL$72="Muy Baja",'Mapa final'!$AN$72="Menor"),CONCATENATE("R2C",'Mapa final'!$U$72),"")</f>
        <v/>
      </c>
      <c r="U61" s="66" t="str">
        <f>IF(AND('Mapa final'!$AL$74="Muy Baja",'Mapa final'!$AN$74="Menor"),CONCATENATE("R2C",'Mapa final'!$U$74),"")</f>
        <v/>
      </c>
      <c r="V61" s="67" t="str">
        <f>IF(AND('Mapa final'!$AL$75="Muy Baja",'Mapa final'!$AN$75="Menor"),CONCATENATE("R2C",'Mapa final'!$U$75),"")</f>
        <v/>
      </c>
      <c r="W61" s="56" t="str">
        <f>IF(AND('Mapa final'!$AL$69="Muy Baja",'Mapa final'!$AN$69="Moderado"),CONCATENATE("R2C",'Mapa final'!$U$69),"")</f>
        <v/>
      </c>
      <c r="X61" s="57" t="str">
        <f>IF(AND('Mapa final'!$AL$70="Muy Baja",'Mapa final'!$AN$70="Moderado"),CONCATENATE("R2C",'Mapa final'!$U$70),"")</f>
        <v/>
      </c>
      <c r="Y61" s="57" t="str">
        <f>IF(AND('Mapa final'!$AL$71="Muy Baja",'Mapa final'!$AN$71="Moderado"),CONCATENATE("R2C",'Mapa final'!$U$71),"")</f>
        <v/>
      </c>
      <c r="Z61" s="57" t="str">
        <f>IF(AND('Mapa final'!$AL$72="Muy Baja",'Mapa final'!$AN$72="Moderado"),CONCATENATE("R2C",'Mapa final'!$U$72),"")</f>
        <v/>
      </c>
      <c r="AA61" s="57" t="str">
        <f>IF(AND('Mapa final'!$AL$74="Muy Baja",'Mapa final'!$AN$74="Moderado"),CONCATENATE("R2C",'Mapa final'!$U$74),"")</f>
        <v/>
      </c>
      <c r="AB61" s="58" t="str">
        <f>IF(AND('Mapa final'!$AL$75="Muy Baja",'Mapa final'!$AN$75="Moderado"),CONCATENATE("R2C",'Mapa final'!$U$75),"")</f>
        <v/>
      </c>
      <c r="AC61" s="44" t="str">
        <f>IF(AND('Mapa final'!$AL$69="Muy Baja",'Mapa final'!$AN$69="Mayor"),CONCATENATE("R2C",'Mapa final'!$U$69),"")</f>
        <v/>
      </c>
      <c r="AD61" s="45" t="str">
        <f>IF(AND('Mapa final'!$AL$70="Muy Baja",'Mapa final'!$AN$70="Mayor"),CONCATENATE("R2C",'Mapa final'!$U$70),"")</f>
        <v/>
      </c>
      <c r="AE61" s="45" t="str">
        <f>IF(AND('Mapa final'!$AL$71="Muy Baja",'Mapa final'!$AN$71="Mayor"),CONCATENATE("R2C",'Mapa final'!$U$71),"")</f>
        <v/>
      </c>
      <c r="AF61" s="45" t="str">
        <f>IF(AND('Mapa final'!$AL$72="Muy Baja",'Mapa final'!$AN$72="Mayor"),CONCATENATE("R2C",'Mapa final'!$U$72),"")</f>
        <v/>
      </c>
      <c r="AG61" s="45" t="str">
        <f>IF(AND('Mapa final'!$AL$74="Muy Baja",'Mapa final'!$AN$74="Mayor"),CONCATENATE("R2C",'Mapa final'!$U$74),"")</f>
        <v/>
      </c>
      <c r="AH61" s="46" t="str">
        <f>IF(AND('Mapa final'!$AL$75="Muy Baja",'Mapa final'!$AN$75="Mayor"),CONCATENATE("R2C",'Mapa final'!$U$75),"")</f>
        <v/>
      </c>
      <c r="AI61" s="47" t="str">
        <f>IF(AND('Mapa final'!$AL$69="Muy Baja",'Mapa final'!$AN$69="Catastrófico"),CONCATENATE("R2C",'Mapa final'!$U$69),"")</f>
        <v/>
      </c>
      <c r="AJ61" s="48" t="str">
        <f>IF(AND('Mapa final'!$AL$70="Muy Baja",'Mapa final'!$AN$70="Catastrófico"),CONCATENATE("R2C",'Mapa final'!$U$70),"")</f>
        <v/>
      </c>
      <c r="AK61" s="48" t="str">
        <f>IF(AND('Mapa final'!$AL$71="Muy Baja",'Mapa final'!$AN$71="Catastrófico"),CONCATENATE("R2C",'Mapa final'!$U$71),"")</f>
        <v/>
      </c>
      <c r="AL61" s="48" t="str">
        <f>IF(AND('Mapa final'!$AL$72="Muy Baja",'Mapa final'!$AN$72="Catastrófico"),CONCATENATE("R2C",'Mapa final'!$U$72),"")</f>
        <v/>
      </c>
      <c r="AM61" s="48" t="str">
        <f>IF(AND('Mapa final'!$AL$74="Muy Baja",'Mapa final'!$AN$74="Catastrófico"),CONCATENATE("R2C",'Mapa final'!$U$74),"")</f>
        <v/>
      </c>
      <c r="AN61" s="49" t="str">
        <f>IF(AND('Mapa final'!$AL$75="Muy Baja",'Mapa final'!$AN$75="Catastrófico"),CONCATENATE("R2C",'Mapa final'!$U$75),"")</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c r="B62" s="69"/>
      <c r="C62" s="69"/>
      <c r="D62" s="69"/>
      <c r="E62" s="69"/>
      <c r="F62" s="69"/>
      <c r="G62" s="69"/>
      <c r="H62" s="69"/>
      <c r="I62" s="69"/>
      <c r="J62" s="69"/>
      <c r="K62" s="498" t="s">
        <v>288</v>
      </c>
      <c r="L62" s="499"/>
      <c r="M62" s="499"/>
      <c r="N62" s="499"/>
      <c r="O62" s="499"/>
      <c r="P62" s="500"/>
      <c r="Q62" s="498" t="s">
        <v>289</v>
      </c>
      <c r="R62" s="499"/>
      <c r="S62" s="499"/>
      <c r="T62" s="499"/>
      <c r="U62" s="499"/>
      <c r="V62" s="500"/>
      <c r="W62" s="498" t="s">
        <v>290</v>
      </c>
      <c r="X62" s="499"/>
      <c r="Y62" s="499"/>
      <c r="Z62" s="499"/>
      <c r="AA62" s="499"/>
      <c r="AB62" s="500"/>
      <c r="AC62" s="498" t="s">
        <v>291</v>
      </c>
      <c r="AD62" s="548"/>
      <c r="AE62" s="499"/>
      <c r="AF62" s="499"/>
      <c r="AG62" s="499"/>
      <c r="AH62" s="500"/>
      <c r="AI62" s="498" t="s">
        <v>292</v>
      </c>
      <c r="AJ62" s="499"/>
      <c r="AK62" s="499"/>
      <c r="AL62" s="499"/>
      <c r="AM62" s="499"/>
      <c r="AN62" s="500"/>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c r="B63" s="69"/>
      <c r="C63" s="69"/>
      <c r="D63" s="69"/>
      <c r="E63" s="69"/>
      <c r="F63" s="69"/>
      <c r="G63" s="69"/>
      <c r="H63" s="69"/>
      <c r="I63" s="69"/>
      <c r="J63" s="69"/>
      <c r="K63" s="501"/>
      <c r="L63" s="502"/>
      <c r="M63" s="502"/>
      <c r="N63" s="502"/>
      <c r="O63" s="502"/>
      <c r="P63" s="503"/>
      <c r="Q63" s="501"/>
      <c r="R63" s="502"/>
      <c r="S63" s="502"/>
      <c r="T63" s="502"/>
      <c r="U63" s="502"/>
      <c r="V63" s="503"/>
      <c r="W63" s="501"/>
      <c r="X63" s="502"/>
      <c r="Y63" s="502"/>
      <c r="Z63" s="502"/>
      <c r="AA63" s="502"/>
      <c r="AB63" s="503"/>
      <c r="AC63" s="501"/>
      <c r="AD63" s="502"/>
      <c r="AE63" s="502"/>
      <c r="AF63" s="502"/>
      <c r="AG63" s="502"/>
      <c r="AH63" s="503"/>
      <c r="AI63" s="501"/>
      <c r="AJ63" s="502"/>
      <c r="AK63" s="502"/>
      <c r="AL63" s="502"/>
      <c r="AM63" s="502"/>
      <c r="AN63" s="503"/>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c r="B64" s="69"/>
      <c r="C64" s="69"/>
      <c r="D64" s="69"/>
      <c r="E64" s="69"/>
      <c r="F64" s="69"/>
      <c r="G64" s="69"/>
      <c r="H64" s="69"/>
      <c r="I64" s="69"/>
      <c r="J64" s="69"/>
      <c r="K64" s="501"/>
      <c r="L64" s="502"/>
      <c r="M64" s="502"/>
      <c r="N64" s="502"/>
      <c r="O64" s="502"/>
      <c r="P64" s="503"/>
      <c r="Q64" s="501"/>
      <c r="R64" s="502"/>
      <c r="S64" s="502"/>
      <c r="T64" s="502"/>
      <c r="U64" s="502"/>
      <c r="V64" s="503"/>
      <c r="W64" s="501"/>
      <c r="X64" s="502"/>
      <c r="Y64" s="502"/>
      <c r="Z64" s="502"/>
      <c r="AA64" s="502"/>
      <c r="AB64" s="503"/>
      <c r="AC64" s="501"/>
      <c r="AD64" s="502"/>
      <c r="AE64" s="502"/>
      <c r="AF64" s="502"/>
      <c r="AG64" s="502"/>
      <c r="AH64" s="503"/>
      <c r="AI64" s="501"/>
      <c r="AJ64" s="502"/>
      <c r="AK64" s="502"/>
      <c r="AL64" s="502"/>
      <c r="AM64" s="502"/>
      <c r="AN64" s="503"/>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c r="B65" s="69"/>
      <c r="C65" s="69"/>
      <c r="D65" s="69"/>
      <c r="E65" s="69"/>
      <c r="F65" s="69"/>
      <c r="G65" s="69"/>
      <c r="H65" s="69"/>
      <c r="I65" s="69"/>
      <c r="J65" s="69"/>
      <c r="K65" s="501"/>
      <c r="L65" s="502"/>
      <c r="M65" s="502"/>
      <c r="N65" s="502"/>
      <c r="O65" s="502"/>
      <c r="P65" s="503"/>
      <c r="Q65" s="501"/>
      <c r="R65" s="502"/>
      <c r="S65" s="502"/>
      <c r="T65" s="502"/>
      <c r="U65" s="502"/>
      <c r="V65" s="503"/>
      <c r="W65" s="501"/>
      <c r="X65" s="502"/>
      <c r="Y65" s="502"/>
      <c r="Z65" s="502"/>
      <c r="AA65" s="502"/>
      <c r="AB65" s="503"/>
      <c r="AC65" s="501"/>
      <c r="AD65" s="502"/>
      <c r="AE65" s="502"/>
      <c r="AF65" s="502"/>
      <c r="AG65" s="502"/>
      <c r="AH65" s="503"/>
      <c r="AI65" s="501"/>
      <c r="AJ65" s="502"/>
      <c r="AK65" s="502"/>
      <c r="AL65" s="502"/>
      <c r="AM65" s="502"/>
      <c r="AN65" s="503"/>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c r="B66" s="69"/>
      <c r="C66" s="69"/>
      <c r="D66" s="69"/>
      <c r="E66" s="69"/>
      <c r="F66" s="69"/>
      <c r="G66" s="69"/>
      <c r="H66" s="69"/>
      <c r="I66" s="69"/>
      <c r="J66" s="69"/>
      <c r="K66" s="501"/>
      <c r="L66" s="502"/>
      <c r="M66" s="502"/>
      <c r="N66" s="502"/>
      <c r="O66" s="502"/>
      <c r="P66" s="503"/>
      <c r="Q66" s="501"/>
      <c r="R66" s="502"/>
      <c r="S66" s="502"/>
      <c r="T66" s="502"/>
      <c r="U66" s="502"/>
      <c r="V66" s="503"/>
      <c r="W66" s="501"/>
      <c r="X66" s="502"/>
      <c r="Y66" s="502"/>
      <c r="Z66" s="502"/>
      <c r="AA66" s="502"/>
      <c r="AB66" s="503"/>
      <c r="AC66" s="501"/>
      <c r="AD66" s="502"/>
      <c r="AE66" s="502"/>
      <c r="AF66" s="502"/>
      <c r="AG66" s="502"/>
      <c r="AH66" s="503"/>
      <c r="AI66" s="501"/>
      <c r="AJ66" s="502"/>
      <c r="AK66" s="502"/>
      <c r="AL66" s="502"/>
      <c r="AM66" s="502"/>
      <c r="AN66" s="503"/>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c r="B67" s="69"/>
      <c r="C67" s="69"/>
      <c r="D67" s="69"/>
      <c r="E67" s="69"/>
      <c r="F67" s="69"/>
      <c r="G67" s="69"/>
      <c r="H67" s="69"/>
      <c r="I67" s="69"/>
      <c r="J67" s="69"/>
      <c r="K67" s="504"/>
      <c r="L67" s="505"/>
      <c r="M67" s="505"/>
      <c r="N67" s="505"/>
      <c r="O67" s="505"/>
      <c r="P67" s="506"/>
      <c r="Q67" s="504"/>
      <c r="R67" s="505"/>
      <c r="S67" s="505"/>
      <c r="T67" s="505"/>
      <c r="U67" s="505"/>
      <c r="V67" s="506"/>
      <c r="W67" s="504"/>
      <c r="X67" s="505"/>
      <c r="Y67" s="505"/>
      <c r="Z67" s="505"/>
      <c r="AA67" s="505"/>
      <c r="AB67" s="506"/>
      <c r="AC67" s="504"/>
      <c r="AD67" s="505"/>
      <c r="AE67" s="505"/>
      <c r="AF67" s="505"/>
      <c r="AG67" s="505"/>
      <c r="AH67" s="506"/>
      <c r="AI67" s="504"/>
      <c r="AJ67" s="505"/>
      <c r="AK67" s="505"/>
      <c r="AL67" s="505"/>
      <c r="AM67" s="505"/>
      <c r="AN67" s="506"/>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c r="B251" s="69"/>
    </row>
    <row r="252" spans="2:61">
      <c r="B252" s="69"/>
    </row>
    <row r="253" spans="2:61">
      <c r="B253" s="69"/>
    </row>
    <row r="254" spans="2:61">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B8" sqref="B8"/>
    </sheetView>
  </sheetViews>
  <sheetFormatPr defaultColWidth="11.42578125" defaultRowHeight="1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row r="2" spans="1:6" ht="15.75" customHeight="1">
      <c r="B2" s="549" t="s">
        <v>8</v>
      </c>
      <c r="C2" s="552" t="s">
        <v>1</v>
      </c>
      <c r="D2" s="553"/>
      <c r="E2" s="124" t="s">
        <v>2</v>
      </c>
      <c r="F2" s="125"/>
    </row>
    <row r="3" spans="1:6" ht="15.75" customHeight="1">
      <c r="B3" s="550"/>
      <c r="C3" s="252"/>
      <c r="D3" s="254"/>
      <c r="E3" s="124" t="s">
        <v>4</v>
      </c>
      <c r="F3" s="125"/>
    </row>
    <row r="4" spans="1:6" ht="16.5" customHeight="1">
      <c r="B4" s="550"/>
      <c r="C4" s="252"/>
      <c r="D4" s="254"/>
      <c r="E4" s="124" t="s">
        <v>5</v>
      </c>
      <c r="F4" s="125"/>
    </row>
    <row r="5" spans="1:6" ht="15" customHeight="1" thickBot="1">
      <c r="B5" s="551"/>
      <c r="C5" s="554"/>
      <c r="D5" s="555"/>
      <c r="E5" s="124" t="s">
        <v>6</v>
      </c>
      <c r="F5" s="125"/>
    </row>
    <row r="7" spans="1:6">
      <c r="A7" s="556" t="s">
        <v>11</v>
      </c>
      <c r="B7" s="142" t="s">
        <v>295</v>
      </c>
      <c r="C7" s="143" t="s">
        <v>296</v>
      </c>
      <c r="D7" s="143" t="s">
        <v>297</v>
      </c>
      <c r="E7" s="143" t="s">
        <v>298</v>
      </c>
    </row>
    <row r="8" spans="1:6" ht="28.5">
      <c r="A8" s="556"/>
      <c r="B8" s="126">
        <v>45747</v>
      </c>
      <c r="C8" s="127" t="s">
        <v>299</v>
      </c>
      <c r="D8" s="128" t="s">
        <v>300</v>
      </c>
      <c r="E8" s="128" t="s">
        <v>301</v>
      </c>
    </row>
    <row r="9" spans="1:6">
      <c r="A9" s="556"/>
      <c r="B9" s="126"/>
      <c r="C9" s="127"/>
      <c r="D9" s="128"/>
      <c r="E9" s="128"/>
    </row>
    <row r="10" spans="1:6">
      <c r="A10" s="556"/>
      <c r="B10" s="126"/>
      <c r="C10" s="127"/>
      <c r="D10" s="128"/>
      <c r="E10" s="128"/>
    </row>
    <row r="11" spans="1:6">
      <c r="A11" s="556"/>
      <c r="B11" s="126"/>
      <c r="C11" s="127"/>
      <c r="D11" s="128"/>
      <c r="E11" s="128"/>
    </row>
    <row r="12" spans="1:6">
      <c r="A12" s="556"/>
      <c r="B12" s="126"/>
      <c r="C12" s="127"/>
      <c r="D12" s="128"/>
      <c r="E12" s="128"/>
    </row>
    <row r="13" spans="1:6">
      <c r="A13" s="144"/>
      <c r="B13" s="126"/>
      <c r="C13" s="127"/>
      <c r="D13" s="128"/>
      <c r="E13" s="128"/>
    </row>
    <row r="14" spans="1:6">
      <c r="A14" s="144"/>
      <c r="B14" s="126"/>
      <c r="C14" s="127"/>
      <c r="D14" s="128"/>
      <c r="E14" s="128"/>
    </row>
    <row r="15" spans="1:6">
      <c r="A15" s="144"/>
      <c r="B15" s="126"/>
      <c r="C15" s="127"/>
      <c r="D15" s="128"/>
      <c r="E15" s="128"/>
    </row>
    <row r="16" spans="1:6">
      <c r="A16" s="144"/>
      <c r="B16" s="126"/>
      <c r="C16" s="127"/>
      <c r="D16" s="128"/>
      <c r="E16" s="128"/>
    </row>
    <row r="17" spans="1:5">
      <c r="A17" s="144"/>
      <c r="B17" s="126"/>
      <c r="C17" s="127"/>
      <c r="D17" s="128"/>
      <c r="E17" s="128"/>
    </row>
    <row r="18" spans="1:5">
      <c r="A18" s="144"/>
      <c r="B18" s="126"/>
      <c r="C18" s="127"/>
      <c r="D18" s="128"/>
      <c r="E18" s="128"/>
    </row>
    <row r="19" spans="1:5">
      <c r="B19" s="126"/>
      <c r="C19" s="129"/>
      <c r="D19" s="128"/>
      <c r="E19" s="128"/>
    </row>
    <row r="20" spans="1:5">
      <c r="B20" s="126"/>
      <c r="C20" s="127"/>
      <c r="D20" s="128"/>
      <c r="E20" s="128"/>
    </row>
    <row r="25" spans="1: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defaultColWidth="11.42578125"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7" zoomScale="80" zoomScaleNormal="80" workbookViewId="0">
      <selection activeCell="E21" sqref="E21:F21"/>
    </sheetView>
  </sheetViews>
  <sheetFormatPr defaultColWidth="11.42578125" defaultRowHeight="1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row r="2" spans="2:10" ht="18" customHeight="1">
      <c r="B2" s="574" t="s">
        <v>302</v>
      </c>
      <c r="C2" s="575"/>
      <c r="D2" s="575"/>
      <c r="E2" s="575"/>
      <c r="F2" s="575"/>
      <c r="G2" s="575"/>
      <c r="H2" s="576"/>
      <c r="J2" s="151" t="s">
        <v>19</v>
      </c>
    </row>
    <row r="3" spans="2:10" ht="20.25">
      <c r="B3" s="70"/>
      <c r="C3" s="71"/>
      <c r="D3" s="71"/>
      <c r="E3" s="71"/>
      <c r="F3" s="71"/>
      <c r="G3" s="71"/>
      <c r="H3" s="72"/>
      <c r="J3" s="151"/>
    </row>
    <row r="4" spans="2:10" ht="63" customHeight="1">
      <c r="B4" s="577" t="s">
        <v>303</v>
      </c>
      <c r="C4" s="578"/>
      <c r="D4" s="578"/>
      <c r="E4" s="578"/>
      <c r="F4" s="578"/>
      <c r="G4" s="578"/>
      <c r="H4" s="579"/>
    </row>
    <row r="5" spans="2:10" ht="63" customHeight="1">
      <c r="B5" s="580"/>
      <c r="C5" s="581"/>
      <c r="D5" s="581"/>
      <c r="E5" s="581"/>
      <c r="F5" s="581"/>
      <c r="G5" s="581"/>
      <c r="H5" s="582"/>
    </row>
    <row r="6" spans="2:10" ht="16.5">
      <c r="B6" s="583" t="s">
        <v>304</v>
      </c>
      <c r="C6" s="584"/>
      <c r="D6" s="584"/>
      <c r="E6" s="584"/>
      <c r="F6" s="584"/>
      <c r="G6" s="584"/>
      <c r="H6" s="585"/>
    </row>
    <row r="7" spans="2:10" ht="95.25" customHeight="1">
      <c r="B7" s="593" t="s">
        <v>305</v>
      </c>
      <c r="C7" s="594"/>
      <c r="D7" s="594"/>
      <c r="E7" s="594"/>
      <c r="F7" s="594"/>
      <c r="G7" s="594"/>
      <c r="H7" s="595"/>
    </row>
    <row r="8" spans="2:10" ht="16.5">
      <c r="B8" s="106"/>
      <c r="C8" s="107"/>
      <c r="D8" s="107"/>
      <c r="E8" s="107"/>
      <c r="F8" s="107"/>
      <c r="G8" s="107"/>
      <c r="H8" s="108"/>
    </row>
    <row r="9" spans="2:10" ht="16.5" customHeight="1">
      <c r="B9" s="586" t="s">
        <v>306</v>
      </c>
      <c r="C9" s="587"/>
      <c r="D9" s="587"/>
      <c r="E9" s="587"/>
      <c r="F9" s="587"/>
      <c r="G9" s="587"/>
      <c r="H9" s="588"/>
    </row>
    <row r="10" spans="2:10" ht="44.25" customHeight="1">
      <c r="B10" s="586"/>
      <c r="C10" s="587"/>
      <c r="D10" s="587"/>
      <c r="E10" s="587"/>
      <c r="F10" s="587"/>
      <c r="G10" s="587"/>
      <c r="H10" s="588"/>
    </row>
    <row r="11" spans="2:10" ht="15.75" thickBot="1">
      <c r="B11" s="95"/>
      <c r="C11" s="98"/>
      <c r="D11" s="103"/>
      <c r="E11" s="104"/>
      <c r="F11" s="104"/>
      <c r="G11" s="105"/>
      <c r="H11" s="99"/>
    </row>
    <row r="12" spans="2:10" ht="15.75" thickTop="1">
      <c r="B12" s="95"/>
      <c r="C12" s="589" t="s">
        <v>307</v>
      </c>
      <c r="D12" s="590"/>
      <c r="E12" s="591" t="s">
        <v>308</v>
      </c>
      <c r="F12" s="592"/>
      <c r="G12" s="98"/>
      <c r="H12" s="99"/>
    </row>
    <row r="13" spans="2:10" ht="35.25" customHeight="1">
      <c r="B13" s="95"/>
      <c r="C13" s="561" t="s">
        <v>309</v>
      </c>
      <c r="D13" s="562"/>
      <c r="E13" s="563" t="s">
        <v>310</v>
      </c>
      <c r="F13" s="564"/>
      <c r="G13" s="98"/>
      <c r="H13" s="99"/>
    </row>
    <row r="14" spans="2:10" ht="17.25" customHeight="1">
      <c r="B14" s="95"/>
      <c r="C14" s="561" t="s">
        <v>311</v>
      </c>
      <c r="D14" s="562"/>
      <c r="E14" s="563" t="s">
        <v>312</v>
      </c>
      <c r="F14" s="564"/>
      <c r="G14" s="98"/>
      <c r="H14" s="99"/>
    </row>
    <row r="15" spans="2:10" ht="19.5" customHeight="1">
      <c r="B15" s="95"/>
      <c r="C15" s="561" t="s">
        <v>313</v>
      </c>
      <c r="D15" s="562"/>
      <c r="E15" s="563" t="s">
        <v>314</v>
      </c>
      <c r="F15" s="564"/>
      <c r="G15" s="98"/>
      <c r="H15" s="99"/>
    </row>
    <row r="16" spans="2:10" ht="69.75" customHeight="1">
      <c r="B16" s="95"/>
      <c r="C16" s="561" t="s">
        <v>315</v>
      </c>
      <c r="D16" s="562"/>
      <c r="E16" s="563" t="s">
        <v>316</v>
      </c>
      <c r="F16" s="564"/>
      <c r="G16" s="98"/>
      <c r="H16" s="99"/>
    </row>
    <row r="17" spans="2:8" ht="34.5" customHeight="1">
      <c r="B17" s="95"/>
      <c r="C17" s="565" t="s">
        <v>59</v>
      </c>
      <c r="D17" s="566"/>
      <c r="E17" s="557" t="s">
        <v>317</v>
      </c>
      <c r="F17" s="558"/>
      <c r="G17" s="98"/>
      <c r="H17" s="99"/>
    </row>
    <row r="18" spans="2:8" ht="27.75" customHeight="1">
      <c r="B18" s="95"/>
      <c r="C18" s="565" t="s">
        <v>318</v>
      </c>
      <c r="D18" s="566"/>
      <c r="E18" s="557" t="s">
        <v>319</v>
      </c>
      <c r="F18" s="558"/>
      <c r="G18" s="98"/>
      <c r="H18" s="99"/>
    </row>
    <row r="19" spans="2:8" ht="28.5" customHeight="1">
      <c r="B19" s="95"/>
      <c r="C19" s="565" t="s">
        <v>320</v>
      </c>
      <c r="D19" s="566"/>
      <c r="E19" s="557" t="s">
        <v>321</v>
      </c>
      <c r="F19" s="558"/>
      <c r="G19" s="98"/>
      <c r="H19" s="99"/>
    </row>
    <row r="20" spans="2:8" ht="72.75" customHeight="1">
      <c r="B20" s="95"/>
      <c r="C20" s="565" t="s">
        <v>66</v>
      </c>
      <c r="D20" s="566"/>
      <c r="E20" s="557" t="s">
        <v>322</v>
      </c>
      <c r="F20" s="558"/>
      <c r="G20" s="98"/>
      <c r="H20" s="99"/>
    </row>
    <row r="21" spans="2:8" ht="64.5" customHeight="1">
      <c r="B21" s="95"/>
      <c r="C21" s="565" t="s">
        <v>67</v>
      </c>
      <c r="D21" s="566"/>
      <c r="E21" s="557" t="s">
        <v>323</v>
      </c>
      <c r="F21" s="558"/>
      <c r="G21" s="98"/>
      <c r="H21" s="99"/>
    </row>
    <row r="22" spans="2:8" ht="71.25" customHeight="1">
      <c r="B22" s="95"/>
      <c r="C22" s="565" t="s">
        <v>324</v>
      </c>
      <c r="D22" s="566"/>
      <c r="E22" s="557" t="s">
        <v>325</v>
      </c>
      <c r="F22" s="558"/>
      <c r="G22" s="98"/>
      <c r="H22" s="99"/>
    </row>
    <row r="23" spans="2:8" ht="55.5" customHeight="1">
      <c r="B23" s="95"/>
      <c r="C23" s="559" t="s">
        <v>326</v>
      </c>
      <c r="D23" s="560"/>
      <c r="E23" s="557" t="s">
        <v>327</v>
      </c>
      <c r="F23" s="558"/>
      <c r="G23" s="98"/>
      <c r="H23" s="99"/>
    </row>
    <row r="24" spans="2:8" ht="42" customHeight="1">
      <c r="B24" s="95"/>
      <c r="C24" s="559" t="s">
        <v>74</v>
      </c>
      <c r="D24" s="560"/>
      <c r="E24" s="557" t="s">
        <v>328</v>
      </c>
      <c r="F24" s="558"/>
      <c r="G24" s="98"/>
      <c r="H24" s="99"/>
    </row>
    <row r="25" spans="2:8" ht="59.25" customHeight="1">
      <c r="B25" s="95"/>
      <c r="C25" s="559" t="s">
        <v>76</v>
      </c>
      <c r="D25" s="560"/>
      <c r="E25" s="557" t="s">
        <v>329</v>
      </c>
      <c r="F25" s="558"/>
      <c r="G25" s="98"/>
      <c r="H25" s="99"/>
    </row>
    <row r="26" spans="2:8" ht="23.25" customHeight="1">
      <c r="B26" s="95"/>
      <c r="C26" s="559" t="s">
        <v>78</v>
      </c>
      <c r="D26" s="560"/>
      <c r="E26" s="557" t="s">
        <v>330</v>
      </c>
      <c r="F26" s="558"/>
      <c r="G26" s="98"/>
      <c r="H26" s="99"/>
    </row>
    <row r="27" spans="2:8" ht="30.75" customHeight="1">
      <c r="B27" s="95"/>
      <c r="C27" s="559" t="s">
        <v>331</v>
      </c>
      <c r="D27" s="560"/>
      <c r="E27" s="557" t="s">
        <v>332</v>
      </c>
      <c r="F27" s="558"/>
      <c r="G27" s="98"/>
      <c r="H27" s="99"/>
    </row>
    <row r="28" spans="2:8" ht="35.25" customHeight="1">
      <c r="B28" s="95"/>
      <c r="C28" s="559" t="s">
        <v>333</v>
      </c>
      <c r="D28" s="560"/>
      <c r="E28" s="557" t="s">
        <v>334</v>
      </c>
      <c r="F28" s="558"/>
      <c r="G28" s="98"/>
      <c r="H28" s="99"/>
    </row>
    <row r="29" spans="2:8" ht="33" customHeight="1">
      <c r="B29" s="95"/>
      <c r="C29" s="559" t="s">
        <v>333</v>
      </c>
      <c r="D29" s="560"/>
      <c r="E29" s="557" t="s">
        <v>334</v>
      </c>
      <c r="F29" s="558"/>
      <c r="G29" s="98"/>
      <c r="H29" s="99"/>
    </row>
    <row r="30" spans="2:8" ht="30" customHeight="1">
      <c r="B30" s="95"/>
      <c r="C30" s="559" t="s">
        <v>335</v>
      </c>
      <c r="D30" s="560"/>
      <c r="E30" s="557" t="s">
        <v>336</v>
      </c>
      <c r="F30" s="558"/>
      <c r="G30" s="98"/>
      <c r="H30" s="99"/>
    </row>
    <row r="31" spans="2:8" ht="35.25" customHeight="1">
      <c r="B31" s="95"/>
      <c r="C31" s="559" t="s">
        <v>337</v>
      </c>
      <c r="D31" s="560"/>
      <c r="E31" s="557" t="s">
        <v>338</v>
      </c>
      <c r="F31" s="558"/>
      <c r="G31" s="98"/>
      <c r="H31" s="99"/>
    </row>
    <row r="32" spans="2:8" ht="31.5" customHeight="1">
      <c r="B32" s="95"/>
      <c r="C32" s="559" t="s">
        <v>339</v>
      </c>
      <c r="D32" s="560"/>
      <c r="E32" s="557" t="s">
        <v>340</v>
      </c>
      <c r="F32" s="558"/>
      <c r="G32" s="98"/>
      <c r="H32" s="99"/>
    </row>
    <row r="33" spans="2:8" ht="35.25" customHeight="1">
      <c r="B33" s="95"/>
      <c r="C33" s="559" t="s">
        <v>341</v>
      </c>
      <c r="D33" s="560"/>
      <c r="E33" s="557" t="s">
        <v>342</v>
      </c>
      <c r="F33" s="558"/>
      <c r="G33" s="98"/>
      <c r="H33" s="99"/>
    </row>
    <row r="34" spans="2:8" ht="59.25" customHeight="1">
      <c r="B34" s="95"/>
      <c r="C34" s="559" t="s">
        <v>343</v>
      </c>
      <c r="D34" s="560"/>
      <c r="E34" s="557" t="s">
        <v>344</v>
      </c>
      <c r="F34" s="558"/>
      <c r="G34" s="98"/>
      <c r="H34" s="99"/>
    </row>
    <row r="35" spans="2:8" ht="29.25" customHeight="1">
      <c r="B35" s="95"/>
      <c r="C35" s="559" t="s">
        <v>84</v>
      </c>
      <c r="D35" s="560"/>
      <c r="E35" s="557" t="s">
        <v>345</v>
      </c>
      <c r="F35" s="558"/>
      <c r="G35" s="98"/>
      <c r="H35" s="99"/>
    </row>
    <row r="36" spans="2:8" ht="82.5" customHeight="1">
      <c r="B36" s="95"/>
      <c r="C36" s="559" t="s">
        <v>346</v>
      </c>
      <c r="D36" s="560"/>
      <c r="E36" s="557" t="s">
        <v>347</v>
      </c>
      <c r="F36" s="558"/>
      <c r="G36" s="98"/>
      <c r="H36" s="99"/>
    </row>
    <row r="37" spans="2:8" ht="46.5" customHeight="1">
      <c r="B37" s="95"/>
      <c r="C37" s="559" t="s">
        <v>90</v>
      </c>
      <c r="D37" s="560"/>
      <c r="E37" s="557" t="s">
        <v>348</v>
      </c>
      <c r="F37" s="558"/>
      <c r="G37" s="98"/>
      <c r="H37" s="99"/>
    </row>
    <row r="38" spans="2:8" ht="6.75" customHeight="1" thickBot="1">
      <c r="B38" s="95"/>
      <c r="C38" s="570"/>
      <c r="D38" s="571"/>
      <c r="E38" s="572"/>
      <c r="F38" s="573"/>
      <c r="G38" s="98"/>
      <c r="H38" s="99"/>
    </row>
    <row r="39" spans="2:8" ht="15.75" thickTop="1">
      <c r="B39" s="95"/>
      <c r="C39" s="96"/>
      <c r="D39" s="96"/>
      <c r="E39" s="97"/>
      <c r="F39" s="97"/>
      <c r="G39" s="98"/>
      <c r="H39" s="99"/>
    </row>
    <row r="40" spans="2:8" ht="21" customHeight="1">
      <c r="B40" s="567" t="s">
        <v>349</v>
      </c>
      <c r="C40" s="568"/>
      <c r="D40" s="568"/>
      <c r="E40" s="568"/>
      <c r="F40" s="568"/>
      <c r="G40" s="568"/>
      <c r="H40" s="569"/>
    </row>
    <row r="41" spans="2:8" ht="20.25" customHeight="1">
      <c r="B41" s="567" t="s">
        <v>350</v>
      </c>
      <c r="C41" s="568"/>
      <c r="D41" s="568"/>
      <c r="E41" s="568"/>
      <c r="F41" s="568"/>
      <c r="G41" s="568"/>
      <c r="H41" s="569"/>
    </row>
    <row r="42" spans="2:8" ht="20.25" customHeight="1">
      <c r="B42" s="567" t="s">
        <v>351</v>
      </c>
      <c r="C42" s="568"/>
      <c r="D42" s="568"/>
      <c r="E42" s="568"/>
      <c r="F42" s="568"/>
      <c r="G42" s="568"/>
      <c r="H42" s="569"/>
    </row>
    <row r="43" spans="2:8" ht="20.25" customHeight="1">
      <c r="B43" s="567" t="s">
        <v>352</v>
      </c>
      <c r="C43" s="568"/>
      <c r="D43" s="568"/>
      <c r="E43" s="568"/>
      <c r="F43" s="568"/>
      <c r="G43" s="568"/>
      <c r="H43" s="569"/>
    </row>
    <row r="44" spans="2:8" ht="15" customHeight="1">
      <c r="B44" s="567" t="s">
        <v>353</v>
      </c>
      <c r="C44" s="568"/>
      <c r="D44" s="568"/>
      <c r="E44" s="568"/>
      <c r="F44" s="568"/>
      <c r="G44" s="568"/>
      <c r="H44" s="569"/>
    </row>
    <row r="45" spans="2:8" ht="15.75" thickBot="1">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defaultColWidth="11.42578125"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defaultColWidth="11.42578125" defaultRowHeight="15"/>
  <sheetData>
    <row r="1" spans="1:4">
      <c r="A1" t="s">
        <v>354</v>
      </c>
      <c r="B1" t="s">
        <v>61</v>
      </c>
      <c r="C1" t="s">
        <v>171</v>
      </c>
      <c r="D1" t="s">
        <v>172</v>
      </c>
    </row>
    <row r="2" spans="1:4">
      <c r="A2" t="s">
        <v>220</v>
      </c>
      <c r="B2" t="s">
        <v>176</v>
      </c>
      <c r="C2" t="s">
        <v>152</v>
      </c>
      <c r="D2" t="s">
        <v>140</v>
      </c>
    </row>
    <row r="3" spans="1:4">
      <c r="A3" t="s">
        <v>182</v>
      </c>
      <c r="B3" t="s">
        <v>185</v>
      </c>
      <c r="C3" t="s">
        <v>355</v>
      </c>
      <c r="D3" t="s">
        <v>153</v>
      </c>
    </row>
    <row r="4" spans="1:4">
      <c r="A4" t="s">
        <v>192</v>
      </c>
      <c r="B4" t="s">
        <v>196</v>
      </c>
      <c r="C4" t="s">
        <v>139</v>
      </c>
      <c r="D4" t="s">
        <v>198</v>
      </c>
    </row>
    <row r="5" spans="1:4">
      <c r="A5" t="s">
        <v>185</v>
      </c>
      <c r="B5" t="s">
        <v>107</v>
      </c>
      <c r="C5" t="s">
        <v>356</v>
      </c>
      <c r="D5" t="s">
        <v>113</v>
      </c>
    </row>
    <row r="6" spans="1:4">
      <c r="A6" t="s">
        <v>104</v>
      </c>
      <c r="B6" t="s">
        <v>209</v>
      </c>
      <c r="C6" t="s">
        <v>113</v>
      </c>
    </row>
    <row r="7" spans="1:4">
      <c r="A7" t="s">
        <v>146</v>
      </c>
      <c r="B7" t="s">
        <v>147</v>
      </c>
    </row>
    <row r="8" spans="1:4">
      <c r="A8" t="s">
        <v>357</v>
      </c>
    </row>
    <row r="9" spans="1:4">
      <c r="A9" t="s">
        <v>206</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defaultColWidth="11.42578125"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defaultColWidth="11.42578125" defaultRowHeight="1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row r="2" spans="2:11" ht="15" customHeight="1">
      <c r="B2" s="633" t="s">
        <v>274</v>
      </c>
      <c r="C2" s="634" t="s">
        <v>1</v>
      </c>
      <c r="D2" s="635"/>
      <c r="E2" s="635"/>
      <c r="F2" s="635"/>
      <c r="G2" s="635"/>
      <c r="H2" s="635"/>
      <c r="I2" s="635"/>
      <c r="J2" s="291" t="s">
        <v>275</v>
      </c>
      <c r="K2" s="265"/>
    </row>
    <row r="3" spans="2:11" ht="15" customHeight="1">
      <c r="B3" s="550"/>
      <c r="C3" s="636"/>
      <c r="D3" s="637"/>
      <c r="E3" s="637"/>
      <c r="F3" s="637"/>
      <c r="G3" s="637"/>
      <c r="H3" s="637"/>
      <c r="I3" s="637"/>
      <c r="J3" s="292" t="s">
        <v>4</v>
      </c>
      <c r="K3" s="267"/>
    </row>
    <row r="4" spans="2:11" ht="15" customHeight="1">
      <c r="B4" s="550"/>
      <c r="C4" s="636"/>
      <c r="D4" s="637"/>
      <c r="E4" s="637"/>
      <c r="F4" s="637"/>
      <c r="G4" s="637"/>
      <c r="H4" s="637"/>
      <c r="I4" s="637"/>
      <c r="J4" s="292" t="s">
        <v>276</v>
      </c>
      <c r="K4" s="267" t="s">
        <v>276</v>
      </c>
    </row>
    <row r="5" spans="2:11" ht="15" customHeight="1" thickBot="1">
      <c r="B5" s="551"/>
      <c r="C5" s="638"/>
      <c r="D5" s="639"/>
      <c r="E5" s="639"/>
      <c r="F5" s="639"/>
      <c r="G5" s="639"/>
      <c r="H5" s="639"/>
      <c r="I5" s="639"/>
      <c r="J5" s="293" t="s">
        <v>6</v>
      </c>
      <c r="K5" s="269" t="s">
        <v>6</v>
      </c>
    </row>
    <row r="6" spans="2:11" ht="15.75" thickBot="1"/>
    <row r="7" spans="2:11" customFormat="1" ht="15.75" thickBot="1">
      <c r="B7" s="627" t="s">
        <v>295</v>
      </c>
      <c r="C7" s="628"/>
      <c r="D7" s="629" t="s">
        <v>358</v>
      </c>
      <c r="E7" s="630"/>
      <c r="F7" s="629" t="s">
        <v>359</v>
      </c>
      <c r="G7" s="631"/>
      <c r="H7" s="631"/>
      <c r="I7" s="631"/>
      <c r="J7" s="631"/>
      <c r="K7" s="632"/>
    </row>
    <row r="8" spans="2:11" customFormat="1" ht="18" customHeight="1" thickBot="1">
      <c r="B8" s="598"/>
      <c r="C8" s="599"/>
      <c r="D8" s="600">
        <v>1</v>
      </c>
      <c r="E8" s="601"/>
      <c r="F8" s="596"/>
      <c r="G8" s="596"/>
      <c r="H8" s="596"/>
      <c r="I8" s="596"/>
      <c r="J8" s="596"/>
      <c r="K8" s="597"/>
    </row>
    <row r="9" spans="2:11" customFormat="1" ht="18" customHeight="1" thickBot="1">
      <c r="B9" s="598"/>
      <c r="C9" s="599"/>
      <c r="D9" s="600">
        <v>2</v>
      </c>
      <c r="E9" s="601"/>
      <c r="F9" s="596"/>
      <c r="G9" s="596"/>
      <c r="H9" s="596"/>
      <c r="I9" s="596"/>
      <c r="J9" s="596"/>
      <c r="K9" s="597"/>
    </row>
    <row r="10" spans="2:11" customFormat="1" ht="18" customHeight="1" thickBot="1">
      <c r="B10" s="598"/>
      <c r="C10" s="599"/>
      <c r="D10" s="600">
        <v>3</v>
      </c>
      <c r="E10" s="601"/>
      <c r="F10" s="596"/>
      <c r="G10" s="596"/>
      <c r="H10" s="596"/>
      <c r="I10" s="596"/>
      <c r="J10" s="596"/>
      <c r="K10" s="597"/>
    </row>
    <row r="11" spans="2:11" customFormat="1" ht="18" customHeight="1" thickBot="1">
      <c r="B11" s="598"/>
      <c r="C11" s="599"/>
      <c r="D11" s="600">
        <v>4</v>
      </c>
      <c r="E11" s="601"/>
      <c r="F11" s="596"/>
      <c r="G11" s="596"/>
      <c r="H11" s="596"/>
      <c r="I11" s="596"/>
      <c r="J11" s="596"/>
      <c r="K11" s="597"/>
    </row>
    <row r="12" spans="2:11" customFormat="1" ht="18" customHeight="1" thickBot="1">
      <c r="B12" s="598"/>
      <c r="C12" s="599"/>
      <c r="D12" s="600">
        <v>5</v>
      </c>
      <c r="E12" s="601"/>
      <c r="F12" s="596"/>
      <c r="G12" s="596"/>
      <c r="H12" s="596"/>
      <c r="I12" s="596"/>
      <c r="J12" s="596"/>
      <c r="K12" s="597"/>
    </row>
    <row r="13" spans="2:11" customFormat="1" ht="18" customHeight="1" thickBot="1">
      <c r="B13" s="598"/>
      <c r="C13" s="599"/>
      <c r="D13" s="600">
        <v>6</v>
      </c>
      <c r="E13" s="601"/>
      <c r="F13" s="596"/>
      <c r="G13" s="596"/>
      <c r="H13" s="596"/>
      <c r="I13" s="596"/>
      <c r="J13" s="596"/>
      <c r="K13" s="597"/>
    </row>
    <row r="14" spans="2:11" customFormat="1" ht="18" customHeight="1" thickBot="1">
      <c r="B14" s="598"/>
      <c r="C14" s="599"/>
      <c r="D14" s="600">
        <v>7</v>
      </c>
      <c r="E14" s="601"/>
      <c r="F14" s="596"/>
      <c r="G14" s="596"/>
      <c r="H14" s="596"/>
      <c r="I14" s="596"/>
      <c r="J14" s="596"/>
      <c r="K14" s="597"/>
    </row>
    <row r="15" spans="2:11" customFormat="1" ht="18" customHeight="1" thickBot="1">
      <c r="B15" s="598">
        <v>45352</v>
      </c>
      <c r="C15" s="599"/>
      <c r="D15" s="600">
        <v>8</v>
      </c>
      <c r="E15" s="601"/>
      <c r="F15" s="596" t="s">
        <v>360</v>
      </c>
      <c r="G15" s="596"/>
      <c r="H15" s="596"/>
      <c r="I15" s="596"/>
      <c r="J15" s="596"/>
      <c r="K15" s="597"/>
    </row>
    <row r="16" spans="2:11" customFormat="1" ht="15.75" customHeight="1" thickBot="1">
      <c r="B16" s="614"/>
      <c r="C16" s="614"/>
      <c r="D16" s="614"/>
      <c r="E16" s="614"/>
      <c r="F16" s="614"/>
      <c r="G16" s="614"/>
      <c r="H16" s="614"/>
      <c r="I16" s="614"/>
      <c r="J16" s="614"/>
      <c r="K16" s="614"/>
    </row>
    <row r="17" spans="2:12" customFormat="1" ht="15.75" customHeight="1" thickBot="1">
      <c r="B17" s="615" t="s">
        <v>361</v>
      </c>
      <c r="C17" s="616"/>
      <c r="D17" s="616"/>
      <c r="E17" s="617"/>
      <c r="F17" s="618" t="s">
        <v>362</v>
      </c>
      <c r="G17" s="619"/>
      <c r="H17" s="620"/>
      <c r="I17" s="621" t="s">
        <v>363</v>
      </c>
      <c r="J17" s="622"/>
      <c r="K17" s="617"/>
    </row>
    <row r="18" spans="2:12" customFormat="1" ht="27" customHeight="1">
      <c r="B18" s="623"/>
      <c r="C18" s="624"/>
      <c r="D18" s="624"/>
      <c r="E18" s="624"/>
      <c r="F18" s="624"/>
      <c r="G18" s="624"/>
      <c r="H18" s="624"/>
      <c r="I18" s="625"/>
      <c r="J18" s="625"/>
      <c r="K18" s="626"/>
    </row>
    <row r="19" spans="2:12" customFormat="1" ht="15" customHeight="1">
      <c r="B19" s="603" t="s">
        <v>364</v>
      </c>
      <c r="C19" s="604"/>
      <c r="D19" s="604"/>
      <c r="E19" s="604"/>
      <c r="F19" s="605" t="s">
        <v>365</v>
      </c>
      <c r="G19" s="605"/>
      <c r="H19" s="606"/>
      <c r="I19" s="605" t="s">
        <v>365</v>
      </c>
      <c r="J19" s="605"/>
      <c r="K19" s="606"/>
    </row>
    <row r="20" spans="2:12" customFormat="1" ht="22.5" customHeight="1" thickBot="1">
      <c r="B20" s="607" t="s">
        <v>366</v>
      </c>
      <c r="C20" s="608"/>
      <c r="D20" s="608"/>
      <c r="E20" s="608"/>
      <c r="F20" s="608" t="s">
        <v>367</v>
      </c>
      <c r="G20" s="608"/>
      <c r="H20" s="609"/>
      <c r="I20" s="608" t="s">
        <v>367</v>
      </c>
      <c r="J20" s="608"/>
      <c r="K20" s="609"/>
    </row>
    <row r="21" spans="2:12" customFormat="1" ht="9" customHeight="1" thickBot="1">
      <c r="B21" s="610"/>
      <c r="C21" s="610"/>
      <c r="D21" s="610"/>
      <c r="E21" s="610"/>
      <c r="F21" s="610"/>
      <c r="G21" s="610"/>
      <c r="H21" s="610"/>
      <c r="I21" s="610"/>
      <c r="J21" s="610"/>
      <c r="K21" s="610"/>
    </row>
    <row r="22" spans="2:12" customFormat="1" ht="15.75" thickBot="1">
      <c r="B22" s="611" t="s">
        <v>161</v>
      </c>
      <c r="C22" s="612"/>
      <c r="D22" s="613"/>
      <c r="E22" s="131" t="s">
        <v>162</v>
      </c>
      <c r="F22" s="611" t="s">
        <v>163</v>
      </c>
      <c r="G22" s="613"/>
      <c r="H22" s="132" t="s">
        <v>164</v>
      </c>
      <c r="I22" s="611" t="s">
        <v>165</v>
      </c>
      <c r="J22" s="613"/>
      <c r="K22" s="133">
        <v>1</v>
      </c>
    </row>
    <row r="23" spans="2:12" ht="8.25" customHeight="1"/>
    <row r="24" spans="2:12">
      <c r="B24" s="602" t="s">
        <v>368</v>
      </c>
      <c r="C24" s="602"/>
      <c r="D24" s="602"/>
      <c r="E24" s="602"/>
      <c r="F24" s="602"/>
      <c r="G24" s="602"/>
      <c r="H24" s="602"/>
      <c r="I24" s="602"/>
      <c r="J24" s="602"/>
      <c r="K24" s="602"/>
      <c r="L24" s="602"/>
    </row>
    <row r="25" spans="2:12">
      <c r="B25" s="602" t="s">
        <v>369</v>
      </c>
      <c r="C25" s="602"/>
      <c r="D25" s="602"/>
      <c r="E25" s="602"/>
      <c r="F25" s="602"/>
      <c r="G25" s="602"/>
      <c r="H25" s="602"/>
      <c r="I25" s="602"/>
      <c r="J25" s="602"/>
      <c r="K25" s="602"/>
      <c r="L25" s="602"/>
    </row>
    <row r="26" spans="2:12" ht="9" customHeight="1"/>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defaultColWidth="11.42578125" defaultRowHeight="15"/>
  <cols>
    <col min="2" max="2" width="24.140625" customWidth="1"/>
    <col min="3" max="3" width="70.140625" customWidth="1"/>
    <col min="4" max="4" width="29.7109375" customWidth="1"/>
  </cols>
  <sheetData>
    <row r="1" spans="1:37" ht="23.25">
      <c r="A1" s="69"/>
      <c r="B1" s="640" t="s">
        <v>370</v>
      </c>
      <c r="C1" s="640"/>
      <c r="D1" s="640"/>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c r="A3" s="69"/>
      <c r="B3" s="3"/>
      <c r="C3" s="4" t="s">
        <v>371</v>
      </c>
      <c r="D3" s="4" t="s">
        <v>278</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c r="A4" s="69"/>
      <c r="B4" s="5" t="s">
        <v>372</v>
      </c>
      <c r="C4" s="6" t="s">
        <v>373</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c r="A5" s="69"/>
      <c r="B5" s="8" t="s">
        <v>374</v>
      </c>
      <c r="C5" s="9" t="s">
        <v>375</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c r="A6" s="69"/>
      <c r="B6" s="11" t="s">
        <v>376</v>
      </c>
      <c r="C6" s="9" t="s">
        <v>377</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c r="A7" s="69"/>
      <c r="B7" s="12" t="s">
        <v>378</v>
      </c>
      <c r="C7" s="9" t="s">
        <v>379</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c r="A8" s="69"/>
      <c r="B8" s="13" t="s">
        <v>380</v>
      </c>
      <c r="C8" s="9" t="s">
        <v>381</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c r="A35" s="69"/>
    </row>
    <row r="36" spans="1:31">
      <c r="A36" s="69"/>
    </row>
    <row r="37" spans="1:31">
      <c r="A37" s="69"/>
    </row>
    <row r="38" spans="1:31">
      <c r="A38" s="69"/>
    </row>
    <row r="39" spans="1:31">
      <c r="A39" s="69"/>
    </row>
    <row r="40" spans="1:31">
      <c r="A40" s="69"/>
    </row>
    <row r="41" spans="1:31">
      <c r="A41" s="69"/>
    </row>
    <row r="42" spans="1:31">
      <c r="A42" s="69"/>
    </row>
    <row r="43" spans="1:31">
      <c r="A43" s="69"/>
    </row>
    <row r="44" spans="1:31">
      <c r="A44" s="69"/>
    </row>
    <row r="45" spans="1:31">
      <c r="A45" s="69"/>
    </row>
    <row r="46" spans="1:31">
      <c r="A46" s="69"/>
    </row>
    <row r="47" spans="1:31">
      <c r="A47" s="69"/>
    </row>
    <row r="48" spans="1:31">
      <c r="A48" s="69"/>
    </row>
    <row r="49" spans="1:1">
      <c r="A49" s="69"/>
    </row>
    <row r="50" spans="1:1">
      <c r="A50" s="69"/>
    </row>
    <row r="51" spans="1:1">
      <c r="A51" s="69"/>
    </row>
    <row r="52" spans="1:1">
      <c r="A52" s="69"/>
    </row>
    <row r="53" spans="1:1">
      <c r="A53" s="69"/>
    </row>
    <row r="54" spans="1:1">
      <c r="A54" s="69"/>
    </row>
    <row r="55" spans="1:1">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defaultColWidth="11.42578125" defaultRowHeight="15"/>
  <cols>
    <col min="2" max="2" width="40.42578125" customWidth="1"/>
    <col min="3" max="3" width="74.7109375" customWidth="1"/>
    <col min="4" max="4" width="135" bestFit="1" customWidth="1"/>
    <col min="5" max="5" width="144.7109375" bestFit="1" customWidth="1"/>
  </cols>
  <sheetData>
    <row r="1" spans="1:21" ht="33.75">
      <c r="A1" s="69"/>
      <c r="B1" s="641" t="s">
        <v>382</v>
      </c>
      <c r="C1" s="641"/>
      <c r="D1" s="641"/>
      <c r="E1" s="69"/>
      <c r="F1" s="69"/>
      <c r="G1" s="69"/>
      <c r="H1" s="69"/>
      <c r="I1" s="69"/>
      <c r="J1" s="69"/>
      <c r="K1" s="69"/>
      <c r="L1" s="69"/>
      <c r="M1" s="69"/>
      <c r="N1" s="69"/>
      <c r="O1" s="69"/>
      <c r="P1" s="69"/>
      <c r="Q1" s="69"/>
      <c r="R1" s="69"/>
      <c r="S1" s="69"/>
      <c r="T1" s="69"/>
      <c r="U1" s="69"/>
    </row>
    <row r="2" spans="1:21">
      <c r="A2" s="69"/>
      <c r="B2" s="69"/>
      <c r="C2" s="69"/>
      <c r="D2" s="69"/>
      <c r="E2" s="69"/>
      <c r="F2" s="69"/>
      <c r="G2" s="69"/>
      <c r="H2" s="69"/>
      <c r="I2" s="69"/>
      <c r="J2" s="69"/>
      <c r="K2" s="69"/>
      <c r="L2" s="69"/>
      <c r="M2" s="69"/>
      <c r="N2" s="69"/>
      <c r="O2" s="69"/>
      <c r="P2" s="69"/>
      <c r="Q2" s="69"/>
      <c r="R2" s="69"/>
      <c r="S2" s="69"/>
      <c r="T2" s="69"/>
      <c r="U2" s="69"/>
    </row>
    <row r="3" spans="1:21" ht="60">
      <c r="A3" s="69"/>
      <c r="B3" s="90"/>
      <c r="C3" s="22" t="s">
        <v>383</v>
      </c>
      <c r="D3" s="22" t="s">
        <v>384</v>
      </c>
      <c r="E3" s="69"/>
      <c r="F3" s="69"/>
      <c r="G3" s="69"/>
      <c r="H3" s="69"/>
      <c r="I3" s="69"/>
      <c r="J3" s="69"/>
      <c r="K3" s="69"/>
      <c r="L3" s="69"/>
      <c r="M3" s="69"/>
      <c r="N3" s="69"/>
      <c r="O3" s="69"/>
      <c r="P3" s="69"/>
      <c r="Q3" s="69"/>
      <c r="R3" s="69"/>
      <c r="S3" s="69"/>
      <c r="T3" s="69"/>
      <c r="U3" s="69"/>
    </row>
    <row r="4" spans="1:21" ht="33.75">
      <c r="A4" s="89" t="s">
        <v>385</v>
      </c>
      <c r="B4" s="25" t="s">
        <v>386</v>
      </c>
      <c r="C4" s="30" t="s">
        <v>387</v>
      </c>
      <c r="D4" s="23" t="s">
        <v>388</v>
      </c>
      <c r="E4" s="69"/>
      <c r="F4" s="69"/>
      <c r="G4" s="69"/>
      <c r="H4" s="69"/>
      <c r="I4" s="69"/>
      <c r="J4" s="69"/>
      <c r="K4" s="69"/>
      <c r="L4" s="69"/>
      <c r="M4" s="69"/>
      <c r="N4" s="69"/>
      <c r="O4" s="69"/>
      <c r="P4" s="69"/>
      <c r="Q4" s="69"/>
      <c r="R4" s="69"/>
      <c r="S4" s="69"/>
      <c r="T4" s="69"/>
      <c r="U4" s="69"/>
    </row>
    <row r="5" spans="1:21" ht="101.25">
      <c r="A5" s="89" t="s">
        <v>389</v>
      </c>
      <c r="B5" s="26" t="s">
        <v>390</v>
      </c>
      <c r="C5" s="31" t="s">
        <v>391</v>
      </c>
      <c r="D5" s="24" t="s">
        <v>392</v>
      </c>
      <c r="E5" s="69"/>
      <c r="F5" s="69"/>
      <c r="G5" s="69"/>
      <c r="H5" s="69"/>
      <c r="I5" s="69"/>
      <c r="J5" s="69"/>
      <c r="K5" s="69"/>
      <c r="L5" s="69"/>
      <c r="M5" s="69"/>
      <c r="N5" s="69"/>
      <c r="O5" s="69"/>
      <c r="P5" s="69"/>
      <c r="Q5" s="69"/>
      <c r="R5" s="69"/>
      <c r="S5" s="69"/>
      <c r="T5" s="69"/>
      <c r="U5" s="69"/>
    </row>
    <row r="6" spans="1:21" ht="67.5">
      <c r="A6" s="89" t="s">
        <v>284</v>
      </c>
      <c r="B6" s="27" t="s">
        <v>393</v>
      </c>
      <c r="C6" s="31" t="s">
        <v>394</v>
      </c>
      <c r="D6" s="24" t="s">
        <v>395</v>
      </c>
      <c r="E6" s="69"/>
      <c r="F6" s="69"/>
      <c r="G6" s="69"/>
      <c r="H6" s="69"/>
      <c r="I6" s="69"/>
      <c r="J6" s="69"/>
      <c r="K6" s="69"/>
      <c r="L6" s="69"/>
      <c r="M6" s="69"/>
      <c r="N6" s="69"/>
      <c r="O6" s="69"/>
      <c r="P6" s="69"/>
      <c r="Q6" s="69"/>
      <c r="R6" s="69"/>
      <c r="S6" s="69"/>
      <c r="T6" s="69"/>
      <c r="U6" s="69"/>
    </row>
    <row r="7" spans="1:21" ht="101.25">
      <c r="A7" s="89" t="s">
        <v>396</v>
      </c>
      <c r="B7" s="28" t="s">
        <v>397</v>
      </c>
      <c r="C7" s="31" t="s">
        <v>398</v>
      </c>
      <c r="D7" s="24" t="s">
        <v>399</v>
      </c>
      <c r="E7" s="69"/>
      <c r="F7" s="69"/>
      <c r="G7" s="69"/>
      <c r="H7" s="69"/>
      <c r="I7" s="69"/>
      <c r="J7" s="69"/>
      <c r="K7" s="69"/>
      <c r="L7" s="69"/>
      <c r="M7" s="69"/>
      <c r="N7" s="69"/>
      <c r="O7" s="69"/>
      <c r="P7" s="69"/>
      <c r="Q7" s="69"/>
      <c r="R7" s="69"/>
      <c r="S7" s="69"/>
      <c r="T7" s="69"/>
      <c r="U7" s="69"/>
    </row>
    <row r="8" spans="1:21" ht="67.5">
      <c r="A8" s="89" t="s">
        <v>400</v>
      </c>
      <c r="B8" s="29" t="s">
        <v>401</v>
      </c>
      <c r="C8" s="31" t="s">
        <v>402</v>
      </c>
      <c r="D8" s="24" t="s">
        <v>403</v>
      </c>
      <c r="E8" s="69"/>
      <c r="F8" s="69"/>
      <c r="G8" s="69"/>
      <c r="H8" s="69"/>
      <c r="I8" s="69"/>
      <c r="J8" s="69"/>
      <c r="K8" s="69"/>
      <c r="L8" s="69"/>
      <c r="M8" s="69"/>
      <c r="N8" s="69"/>
      <c r="O8" s="69"/>
      <c r="P8" s="69"/>
      <c r="Q8" s="69"/>
      <c r="R8" s="69"/>
      <c r="S8" s="69"/>
      <c r="T8" s="69"/>
      <c r="U8" s="69"/>
    </row>
    <row r="9" spans="1:21" ht="20.25">
      <c r="A9" s="89"/>
      <c r="B9" s="89"/>
      <c r="C9" s="91"/>
      <c r="D9" s="91"/>
      <c r="E9" s="69"/>
      <c r="F9" s="69"/>
      <c r="G9" s="69"/>
      <c r="H9" s="69"/>
      <c r="I9" s="69"/>
      <c r="J9" s="69"/>
      <c r="K9" s="69"/>
      <c r="L9" s="69"/>
      <c r="M9" s="69"/>
      <c r="N9" s="69"/>
      <c r="O9" s="69"/>
      <c r="P9" s="69"/>
      <c r="Q9" s="69"/>
      <c r="R9" s="69"/>
      <c r="S9" s="69"/>
      <c r="T9" s="69"/>
      <c r="U9" s="69"/>
    </row>
    <row r="10" spans="1:21" ht="16.5">
      <c r="A10" s="89"/>
      <c r="B10" s="92"/>
      <c r="C10" s="92"/>
      <c r="D10" s="92"/>
      <c r="E10" s="69"/>
      <c r="F10" s="69"/>
      <c r="G10" s="69"/>
      <c r="H10" s="69"/>
      <c r="I10" s="69"/>
      <c r="J10" s="69"/>
      <c r="K10" s="69"/>
      <c r="L10" s="69"/>
      <c r="M10" s="69"/>
      <c r="N10" s="69"/>
      <c r="O10" s="69"/>
      <c r="P10" s="69"/>
      <c r="Q10" s="69"/>
      <c r="R10" s="69"/>
      <c r="S10" s="69"/>
      <c r="T10" s="69"/>
      <c r="U10" s="69"/>
    </row>
    <row r="11" spans="1:21">
      <c r="A11" s="89"/>
      <c r="B11" s="89" t="s">
        <v>404</v>
      </c>
      <c r="C11" s="89" t="s">
        <v>141</v>
      </c>
      <c r="D11" s="89" t="s">
        <v>114</v>
      </c>
      <c r="E11" s="69"/>
      <c r="F11" s="69"/>
      <c r="G11" s="69"/>
      <c r="H11" s="69"/>
      <c r="I11" s="69"/>
      <c r="J11" s="69"/>
      <c r="K11" s="69"/>
      <c r="L11" s="69"/>
      <c r="M11" s="69"/>
      <c r="N11" s="69"/>
      <c r="O11" s="69"/>
      <c r="P11" s="69"/>
      <c r="Q11" s="69"/>
      <c r="R11" s="69"/>
      <c r="S11" s="69"/>
      <c r="T11" s="69"/>
      <c r="U11" s="69"/>
    </row>
    <row r="12" spans="1:21">
      <c r="A12" s="89"/>
      <c r="B12" s="89" t="s">
        <v>405</v>
      </c>
      <c r="C12" s="89" t="s">
        <v>406</v>
      </c>
      <c r="D12" s="89" t="s">
        <v>407</v>
      </c>
      <c r="E12" s="69"/>
      <c r="F12" s="69"/>
      <c r="G12" s="69"/>
      <c r="H12" s="69"/>
      <c r="I12" s="69"/>
      <c r="J12" s="69"/>
      <c r="K12" s="69"/>
      <c r="L12" s="69"/>
      <c r="M12" s="69"/>
      <c r="N12" s="69"/>
      <c r="O12" s="69"/>
      <c r="P12" s="69"/>
      <c r="Q12" s="69"/>
      <c r="R12" s="69"/>
      <c r="S12" s="69"/>
      <c r="T12" s="69"/>
      <c r="U12" s="69"/>
    </row>
    <row r="13" spans="1:21">
      <c r="A13" s="89"/>
      <c r="B13" s="89"/>
      <c r="C13" s="89" t="s">
        <v>408</v>
      </c>
      <c r="D13" s="89" t="s">
        <v>409</v>
      </c>
      <c r="E13" s="69"/>
      <c r="F13" s="69"/>
      <c r="G13" s="69"/>
      <c r="H13" s="69"/>
      <c r="I13" s="69"/>
      <c r="J13" s="69"/>
      <c r="K13" s="69"/>
      <c r="L13" s="69"/>
      <c r="M13" s="69"/>
      <c r="N13" s="69"/>
      <c r="O13" s="69"/>
      <c r="P13" s="69"/>
      <c r="Q13" s="69"/>
      <c r="R13" s="69"/>
      <c r="S13" s="69"/>
      <c r="T13" s="69"/>
      <c r="U13" s="69"/>
    </row>
    <row r="14" spans="1:21">
      <c r="A14" s="89"/>
      <c r="B14" s="89"/>
      <c r="C14" s="89" t="s">
        <v>410</v>
      </c>
      <c r="D14" s="89" t="s">
        <v>411</v>
      </c>
      <c r="E14" s="69"/>
      <c r="F14" s="69"/>
      <c r="G14" s="69"/>
      <c r="H14" s="69"/>
      <c r="I14" s="69"/>
      <c r="J14" s="69"/>
      <c r="K14" s="69"/>
      <c r="L14" s="69"/>
      <c r="M14" s="69"/>
      <c r="N14" s="69"/>
      <c r="O14" s="69"/>
      <c r="P14" s="69"/>
      <c r="Q14" s="69"/>
      <c r="R14" s="69"/>
      <c r="S14" s="69"/>
      <c r="T14" s="69"/>
      <c r="U14" s="69"/>
    </row>
    <row r="15" spans="1:21">
      <c r="A15" s="89"/>
      <c r="B15" s="89"/>
      <c r="C15" s="89" t="s">
        <v>412</v>
      </c>
      <c r="D15" s="89" t="s">
        <v>413</v>
      </c>
      <c r="E15" s="69"/>
      <c r="F15" s="69"/>
      <c r="G15" s="69"/>
      <c r="H15" s="69"/>
      <c r="I15" s="69"/>
      <c r="J15" s="69"/>
      <c r="K15" s="69"/>
      <c r="L15" s="69"/>
      <c r="M15" s="69"/>
      <c r="N15" s="69"/>
      <c r="O15" s="69"/>
      <c r="P15" s="69"/>
      <c r="Q15" s="69"/>
      <c r="R15" s="69"/>
      <c r="S15" s="69"/>
      <c r="T15" s="69"/>
      <c r="U15" s="69"/>
    </row>
    <row r="16" spans="1:21">
      <c r="A16" s="89"/>
      <c r="B16" s="89"/>
      <c r="C16" s="89"/>
      <c r="D16" s="89"/>
      <c r="E16" s="69"/>
      <c r="F16" s="69"/>
      <c r="G16" s="69"/>
      <c r="H16" s="69"/>
      <c r="I16" s="69"/>
      <c r="J16" s="69"/>
      <c r="K16" s="69"/>
      <c r="L16" s="69"/>
      <c r="M16" s="69"/>
      <c r="N16" s="69"/>
      <c r="O16" s="69"/>
    </row>
    <row r="17" spans="1:15">
      <c r="A17" s="89"/>
      <c r="B17" s="89"/>
      <c r="C17" s="89"/>
      <c r="D17" s="89"/>
      <c r="E17" s="69"/>
      <c r="F17" s="69"/>
      <c r="G17" s="69"/>
      <c r="H17" s="69"/>
      <c r="I17" s="69"/>
      <c r="J17" s="69"/>
      <c r="K17" s="69"/>
      <c r="L17" s="69"/>
      <c r="M17" s="69"/>
      <c r="N17" s="69"/>
      <c r="O17" s="69"/>
    </row>
    <row r="18" spans="1:15">
      <c r="A18" s="89"/>
      <c r="B18" s="93"/>
      <c r="C18" s="93"/>
      <c r="D18" s="93"/>
      <c r="E18" s="69"/>
      <c r="F18" s="69"/>
      <c r="G18" s="69"/>
      <c r="H18" s="69"/>
      <c r="I18" s="69"/>
      <c r="J18" s="69"/>
      <c r="K18" s="69"/>
      <c r="L18" s="69"/>
      <c r="M18" s="69"/>
      <c r="N18" s="69"/>
      <c r="O18" s="69"/>
    </row>
    <row r="19" spans="1:15">
      <c r="A19" s="89"/>
      <c r="B19" s="93"/>
      <c r="C19" s="93"/>
      <c r="D19" s="93"/>
      <c r="E19" s="69"/>
      <c r="F19" s="69"/>
      <c r="G19" s="69"/>
      <c r="H19" s="69"/>
      <c r="I19" s="69"/>
      <c r="J19" s="69"/>
      <c r="K19" s="69"/>
      <c r="L19" s="69"/>
      <c r="M19" s="69"/>
      <c r="N19" s="69"/>
      <c r="O19" s="69"/>
    </row>
    <row r="20" spans="1:15">
      <c r="A20" s="89"/>
      <c r="B20" s="93"/>
      <c r="C20" s="93"/>
      <c r="D20" s="93"/>
      <c r="E20" s="69"/>
      <c r="F20" s="69"/>
      <c r="G20" s="69"/>
      <c r="H20" s="69"/>
      <c r="I20" s="69"/>
      <c r="J20" s="69"/>
      <c r="K20" s="69"/>
      <c r="L20" s="69"/>
      <c r="M20" s="69"/>
      <c r="N20" s="69"/>
      <c r="O20" s="69"/>
    </row>
    <row r="21" spans="1:15">
      <c r="A21" s="89"/>
      <c r="B21" s="93"/>
      <c r="C21" s="93"/>
      <c r="D21" s="93"/>
      <c r="E21" s="69"/>
      <c r="F21" s="69"/>
      <c r="G21" s="69"/>
      <c r="H21" s="69"/>
      <c r="I21" s="69"/>
      <c r="J21" s="69"/>
      <c r="K21" s="69"/>
      <c r="L21" s="69"/>
      <c r="M21" s="69"/>
      <c r="N21" s="69"/>
      <c r="O21" s="69"/>
    </row>
    <row r="22" spans="1:15" ht="20.25">
      <c r="A22" s="89"/>
      <c r="B22" s="89"/>
      <c r="C22" s="91"/>
      <c r="D22" s="91"/>
      <c r="E22" s="69"/>
      <c r="F22" s="69"/>
      <c r="G22" s="69"/>
      <c r="H22" s="69"/>
      <c r="I22" s="69"/>
      <c r="J22" s="69"/>
      <c r="K22" s="69"/>
      <c r="L22" s="69"/>
      <c r="M22" s="69"/>
      <c r="N22" s="69"/>
      <c r="O22" s="69"/>
    </row>
    <row r="23" spans="1:15" ht="20.25">
      <c r="A23" s="89"/>
      <c r="B23" s="89"/>
      <c r="C23" s="91"/>
      <c r="D23" s="91"/>
      <c r="E23" s="69"/>
      <c r="F23" s="69"/>
      <c r="G23" s="69"/>
      <c r="H23" s="69"/>
      <c r="I23" s="69"/>
      <c r="J23" s="69"/>
      <c r="K23" s="69"/>
      <c r="L23" s="69"/>
      <c r="M23" s="69"/>
      <c r="N23" s="69"/>
      <c r="O23" s="69"/>
    </row>
    <row r="24" spans="1:15" ht="20.25">
      <c r="A24" s="89"/>
      <c r="B24" s="89"/>
      <c r="C24" s="91"/>
      <c r="D24" s="91"/>
      <c r="E24" s="69"/>
      <c r="F24" s="69"/>
      <c r="G24" s="69"/>
      <c r="H24" s="69"/>
      <c r="I24" s="69"/>
      <c r="J24" s="69"/>
      <c r="K24" s="69"/>
      <c r="L24" s="69"/>
      <c r="M24" s="69"/>
      <c r="N24" s="69"/>
      <c r="O24" s="69"/>
    </row>
    <row r="25" spans="1:15" ht="20.25">
      <c r="A25" s="89"/>
      <c r="B25" s="89"/>
      <c r="C25" s="91"/>
      <c r="D25" s="91"/>
      <c r="E25" s="69"/>
      <c r="F25" s="69"/>
      <c r="G25" s="69"/>
      <c r="H25" s="69"/>
      <c r="I25" s="69"/>
      <c r="J25" s="69"/>
      <c r="K25" s="69"/>
      <c r="L25" s="69"/>
      <c r="M25" s="69"/>
      <c r="N25" s="69"/>
      <c r="O25" s="69"/>
    </row>
    <row r="26" spans="1:15" ht="20.25">
      <c r="A26" s="89"/>
      <c r="B26" s="89"/>
      <c r="C26" s="91"/>
      <c r="D26" s="91"/>
      <c r="E26" s="69"/>
      <c r="F26" s="69"/>
      <c r="G26" s="69"/>
      <c r="H26" s="69"/>
      <c r="I26" s="69"/>
      <c r="J26" s="69"/>
      <c r="K26" s="69"/>
      <c r="L26" s="69"/>
      <c r="M26" s="69"/>
      <c r="N26" s="69"/>
      <c r="O26" s="69"/>
    </row>
    <row r="27" spans="1:15" ht="20.25">
      <c r="A27" s="89"/>
      <c r="B27" s="89"/>
      <c r="C27" s="91"/>
      <c r="D27" s="91"/>
      <c r="E27" s="69"/>
      <c r="F27" s="69"/>
      <c r="G27" s="69"/>
      <c r="H27" s="69"/>
      <c r="I27" s="69"/>
      <c r="J27" s="69"/>
      <c r="K27" s="69"/>
      <c r="L27" s="69"/>
      <c r="M27" s="69"/>
      <c r="N27" s="69"/>
      <c r="O27" s="69"/>
    </row>
    <row r="28" spans="1:15" ht="20.25">
      <c r="A28" s="89"/>
      <c r="B28" s="89"/>
      <c r="C28" s="91"/>
      <c r="D28" s="91"/>
      <c r="E28" s="69"/>
      <c r="F28" s="69"/>
      <c r="G28" s="69"/>
      <c r="H28" s="69"/>
      <c r="I28" s="69"/>
      <c r="J28" s="69"/>
      <c r="K28" s="69"/>
      <c r="L28" s="69"/>
      <c r="M28" s="69"/>
      <c r="N28" s="69"/>
      <c r="O28" s="69"/>
    </row>
    <row r="29" spans="1:15" ht="20.25">
      <c r="A29" s="89"/>
      <c r="B29" s="89"/>
      <c r="C29" s="91"/>
      <c r="D29" s="91"/>
      <c r="E29" s="69"/>
      <c r="F29" s="69"/>
      <c r="G29" s="69"/>
      <c r="H29" s="69"/>
      <c r="I29" s="69"/>
      <c r="J29" s="69"/>
      <c r="K29" s="69"/>
      <c r="L29" s="69"/>
      <c r="M29" s="69"/>
      <c r="N29" s="69"/>
      <c r="O29" s="69"/>
    </row>
    <row r="30" spans="1:15" ht="20.25">
      <c r="A30" s="89"/>
      <c r="B30" s="89"/>
      <c r="C30" s="91"/>
      <c r="D30" s="91"/>
      <c r="E30" s="69"/>
      <c r="F30" s="69"/>
      <c r="G30" s="69"/>
      <c r="H30" s="69"/>
      <c r="I30" s="69"/>
      <c r="J30" s="69"/>
      <c r="K30" s="69"/>
      <c r="L30" s="69"/>
      <c r="M30" s="69"/>
      <c r="N30" s="69"/>
      <c r="O30" s="69"/>
    </row>
    <row r="31" spans="1:15" ht="20.25">
      <c r="A31" s="89"/>
      <c r="B31" s="89"/>
      <c r="C31" s="91"/>
      <c r="D31" s="91"/>
      <c r="E31" s="69"/>
      <c r="F31" s="69"/>
      <c r="G31" s="69"/>
      <c r="H31" s="69"/>
      <c r="I31" s="69"/>
      <c r="J31" s="69"/>
      <c r="K31" s="69"/>
      <c r="L31" s="69"/>
      <c r="M31" s="69"/>
      <c r="N31" s="69"/>
      <c r="O31" s="69"/>
    </row>
    <row r="32" spans="1:15" ht="20.25">
      <c r="A32" s="89"/>
      <c r="B32" s="89"/>
      <c r="C32" s="91"/>
      <c r="D32" s="91"/>
      <c r="E32" s="69"/>
      <c r="F32" s="69"/>
      <c r="G32" s="69"/>
      <c r="H32" s="69"/>
      <c r="I32" s="69"/>
      <c r="J32" s="69"/>
      <c r="K32" s="69"/>
      <c r="L32" s="69"/>
      <c r="M32" s="69"/>
      <c r="N32" s="69"/>
      <c r="O32" s="69"/>
    </row>
    <row r="33" spans="1:15" ht="20.25">
      <c r="A33" s="89"/>
      <c r="B33" s="89"/>
      <c r="C33" s="91"/>
      <c r="D33" s="91"/>
      <c r="E33" s="69"/>
      <c r="F33" s="69"/>
      <c r="G33" s="69"/>
      <c r="H33" s="69"/>
      <c r="I33" s="69"/>
      <c r="J33" s="69"/>
      <c r="K33" s="69"/>
      <c r="L33" s="69"/>
      <c r="M33" s="69"/>
      <c r="N33" s="69"/>
      <c r="O33" s="69"/>
    </row>
    <row r="34" spans="1:15" ht="20.25">
      <c r="A34" s="89"/>
      <c r="B34" s="89"/>
      <c r="C34" s="91"/>
      <c r="D34" s="91"/>
      <c r="E34" s="69"/>
      <c r="F34" s="69"/>
      <c r="G34" s="69"/>
      <c r="H34" s="69"/>
      <c r="I34" s="69"/>
      <c r="J34" s="69"/>
      <c r="K34" s="69"/>
      <c r="L34" s="69"/>
      <c r="M34" s="69"/>
      <c r="N34" s="69"/>
      <c r="O34" s="69"/>
    </row>
    <row r="35" spans="1:15" ht="20.25">
      <c r="A35" s="89"/>
      <c r="B35" s="89"/>
      <c r="C35" s="91"/>
      <c r="D35" s="91"/>
      <c r="E35" s="69"/>
      <c r="F35" s="69"/>
      <c r="G35" s="69"/>
      <c r="H35" s="69"/>
      <c r="I35" s="69"/>
      <c r="J35" s="69"/>
      <c r="K35" s="69"/>
      <c r="L35" s="69"/>
      <c r="M35" s="69"/>
      <c r="N35" s="69"/>
      <c r="O35" s="69"/>
    </row>
    <row r="36" spans="1:15" ht="20.25">
      <c r="A36" s="89"/>
      <c r="B36" s="89"/>
      <c r="C36" s="91"/>
      <c r="D36" s="91"/>
      <c r="E36" s="69"/>
      <c r="F36" s="69"/>
      <c r="G36" s="69"/>
      <c r="H36" s="69"/>
      <c r="I36" s="69"/>
      <c r="J36" s="69"/>
      <c r="K36" s="69"/>
      <c r="L36" s="69"/>
      <c r="M36" s="69"/>
      <c r="N36" s="69"/>
      <c r="O36" s="69"/>
    </row>
    <row r="37" spans="1:15" ht="20.25">
      <c r="A37" s="89"/>
      <c r="B37" s="89"/>
      <c r="C37" s="91"/>
      <c r="D37" s="91"/>
      <c r="E37" s="69"/>
      <c r="F37" s="69"/>
      <c r="G37" s="69"/>
      <c r="H37" s="69"/>
      <c r="I37" s="69"/>
      <c r="J37" s="69"/>
      <c r="K37" s="69"/>
      <c r="L37" s="69"/>
      <c r="M37" s="69"/>
      <c r="N37" s="69"/>
      <c r="O37" s="69"/>
    </row>
    <row r="38" spans="1:15" ht="20.25">
      <c r="A38" s="89"/>
      <c r="B38" s="89"/>
      <c r="C38" s="91"/>
      <c r="D38" s="91"/>
      <c r="E38" s="69"/>
      <c r="F38" s="69"/>
      <c r="G38" s="69"/>
      <c r="H38" s="69"/>
      <c r="I38" s="69"/>
      <c r="J38" s="69"/>
      <c r="K38" s="69"/>
      <c r="L38" s="69"/>
      <c r="M38" s="69"/>
      <c r="N38" s="69"/>
      <c r="O38" s="69"/>
    </row>
    <row r="39" spans="1:15" ht="20.25">
      <c r="A39" s="89"/>
      <c r="B39" s="89"/>
      <c r="C39" s="91"/>
      <c r="D39" s="91"/>
      <c r="E39" s="69"/>
      <c r="F39" s="69"/>
      <c r="G39" s="69"/>
      <c r="H39" s="69"/>
      <c r="I39" s="69"/>
      <c r="J39" s="69"/>
      <c r="K39" s="69"/>
      <c r="L39" s="69"/>
      <c r="M39" s="69"/>
      <c r="N39" s="69"/>
      <c r="O39" s="69"/>
    </row>
    <row r="40" spans="1:15" ht="20.25">
      <c r="A40" s="89"/>
      <c r="B40" s="89"/>
      <c r="C40" s="91"/>
      <c r="D40" s="91"/>
      <c r="E40" s="69"/>
      <c r="F40" s="69"/>
      <c r="G40" s="69"/>
      <c r="H40" s="69"/>
      <c r="I40" s="69"/>
      <c r="J40" s="69"/>
      <c r="K40" s="69"/>
      <c r="L40" s="69"/>
      <c r="M40" s="69"/>
      <c r="N40" s="69"/>
      <c r="O40" s="69"/>
    </row>
    <row r="41" spans="1:15" ht="20.25">
      <c r="A41" s="89"/>
      <c r="B41" s="89"/>
      <c r="C41" s="91"/>
      <c r="D41" s="91"/>
      <c r="E41" s="69"/>
      <c r="F41" s="69"/>
      <c r="G41" s="69"/>
      <c r="H41" s="69"/>
      <c r="I41" s="69"/>
      <c r="J41" s="69"/>
      <c r="K41" s="69"/>
      <c r="L41" s="69"/>
      <c r="M41" s="69"/>
      <c r="N41" s="69"/>
      <c r="O41" s="69"/>
    </row>
    <row r="42" spans="1:15" ht="20.25">
      <c r="A42" s="89"/>
      <c r="B42" s="89"/>
      <c r="C42" s="91"/>
      <c r="D42" s="91"/>
      <c r="E42" s="69"/>
      <c r="F42" s="69"/>
      <c r="G42" s="69"/>
      <c r="H42" s="69"/>
      <c r="I42" s="69"/>
      <c r="J42" s="69"/>
      <c r="K42" s="69"/>
      <c r="L42" s="69"/>
      <c r="M42" s="69"/>
      <c r="N42" s="69"/>
      <c r="O42" s="69"/>
    </row>
    <row r="43" spans="1:15" ht="20.25">
      <c r="A43" s="89"/>
      <c r="B43" s="89"/>
      <c r="C43" s="91"/>
      <c r="D43" s="91"/>
      <c r="E43" s="69"/>
      <c r="F43" s="69"/>
      <c r="G43" s="69"/>
      <c r="H43" s="69"/>
      <c r="I43" s="69"/>
      <c r="J43" s="69"/>
      <c r="K43" s="69"/>
      <c r="L43" s="69"/>
      <c r="M43" s="69"/>
      <c r="N43" s="69"/>
      <c r="O43" s="69"/>
    </row>
    <row r="44" spans="1:15" ht="20.25">
      <c r="A44" s="89"/>
      <c r="B44" s="89"/>
      <c r="C44" s="91"/>
      <c r="D44" s="91"/>
      <c r="E44" s="69"/>
      <c r="F44" s="69"/>
      <c r="G44" s="69"/>
      <c r="H44" s="69"/>
      <c r="I44" s="69"/>
      <c r="J44" s="69"/>
      <c r="K44" s="69"/>
      <c r="L44" s="69"/>
      <c r="M44" s="69"/>
      <c r="N44" s="69"/>
      <c r="O44" s="69"/>
    </row>
    <row r="45" spans="1:15" ht="20.25">
      <c r="A45" s="89"/>
      <c r="B45" s="89"/>
      <c r="C45" s="91"/>
      <c r="D45" s="91"/>
      <c r="E45" s="69"/>
      <c r="F45" s="69"/>
      <c r="G45" s="69"/>
      <c r="H45" s="69"/>
      <c r="I45" s="69"/>
      <c r="J45" s="69"/>
      <c r="K45" s="69"/>
      <c r="L45" s="69"/>
      <c r="M45" s="69"/>
      <c r="N45" s="69"/>
      <c r="O45" s="69"/>
    </row>
    <row r="46" spans="1:15" ht="20.25">
      <c r="A46" s="89"/>
      <c r="B46" s="89"/>
      <c r="C46" s="91"/>
      <c r="D46" s="91"/>
      <c r="E46" s="69"/>
      <c r="F46" s="69"/>
      <c r="G46" s="69"/>
      <c r="H46" s="69"/>
      <c r="I46" s="69"/>
      <c r="J46" s="69"/>
      <c r="K46" s="69"/>
      <c r="L46" s="69"/>
      <c r="M46" s="69"/>
      <c r="N46" s="69"/>
      <c r="O46" s="69"/>
    </row>
    <row r="47" spans="1:15" ht="20.25">
      <c r="A47" s="89"/>
      <c r="B47" s="89"/>
      <c r="C47" s="91"/>
      <c r="D47" s="91"/>
      <c r="E47" s="69"/>
      <c r="F47" s="69"/>
      <c r="G47" s="69"/>
      <c r="H47" s="69"/>
      <c r="I47" s="69"/>
      <c r="J47" s="69"/>
      <c r="K47" s="69"/>
      <c r="L47" s="69"/>
      <c r="M47" s="69"/>
      <c r="N47" s="69"/>
      <c r="O47" s="69"/>
    </row>
    <row r="48" spans="1:15" ht="20.25">
      <c r="A48" s="89"/>
      <c r="B48" s="89"/>
      <c r="C48" s="91"/>
      <c r="D48" s="91"/>
      <c r="E48" s="69"/>
      <c r="F48" s="69"/>
      <c r="G48" s="69"/>
      <c r="H48" s="69"/>
      <c r="I48" s="69"/>
      <c r="J48" s="69"/>
      <c r="K48" s="69"/>
      <c r="L48" s="69"/>
      <c r="M48" s="69"/>
      <c r="N48" s="69"/>
      <c r="O48" s="69"/>
    </row>
    <row r="49" spans="1:15" ht="20.25">
      <c r="A49" s="89"/>
      <c r="B49" s="89"/>
      <c r="C49" s="91"/>
      <c r="D49" s="91"/>
      <c r="E49" s="69"/>
      <c r="F49" s="69"/>
      <c r="G49" s="69"/>
      <c r="H49" s="69"/>
      <c r="I49" s="69"/>
      <c r="J49" s="69"/>
      <c r="K49" s="69"/>
      <c r="L49" s="69"/>
      <c r="M49" s="69"/>
      <c r="N49" s="69"/>
      <c r="O49" s="69"/>
    </row>
    <row r="50" spans="1:15" ht="20.25">
      <c r="A50" s="89"/>
      <c r="B50" s="89"/>
      <c r="C50" s="91"/>
      <c r="D50" s="91"/>
      <c r="E50" s="69"/>
      <c r="F50" s="69"/>
      <c r="G50" s="69"/>
      <c r="H50" s="69"/>
      <c r="I50" s="69"/>
      <c r="J50" s="69"/>
      <c r="K50" s="69"/>
      <c r="L50" s="69"/>
      <c r="M50" s="69"/>
      <c r="N50" s="69"/>
      <c r="O50" s="69"/>
    </row>
    <row r="51" spans="1:15" ht="20.25">
      <c r="A51" s="89"/>
      <c r="B51" s="89"/>
      <c r="C51" s="91"/>
      <c r="D51" s="91"/>
      <c r="E51" s="69"/>
      <c r="F51" s="69"/>
      <c r="G51" s="69"/>
      <c r="H51" s="69"/>
      <c r="I51" s="69"/>
      <c r="J51" s="69"/>
      <c r="K51" s="69"/>
      <c r="L51" s="69"/>
      <c r="M51" s="69"/>
      <c r="N51" s="69"/>
      <c r="O51" s="69"/>
    </row>
    <row r="52" spans="1:15" ht="20.25">
      <c r="A52" s="89"/>
      <c r="B52" s="15"/>
      <c r="C52" s="20"/>
      <c r="D52" s="20"/>
    </row>
    <row r="53" spans="1:15" ht="20.25">
      <c r="A53" s="89"/>
      <c r="B53" s="15"/>
      <c r="C53" s="20"/>
      <c r="D53" s="20"/>
    </row>
    <row r="54" spans="1:15" ht="20.25">
      <c r="A54" s="89"/>
      <c r="B54" s="15"/>
      <c r="C54" s="20"/>
      <c r="D54" s="20"/>
    </row>
    <row r="55" spans="1:15" ht="20.25">
      <c r="A55" s="89"/>
      <c r="B55" s="15"/>
      <c r="C55" s="20"/>
      <c r="D55" s="20"/>
    </row>
    <row r="56" spans="1:15" ht="20.25">
      <c r="A56" s="89"/>
      <c r="B56" s="15"/>
      <c r="C56" s="20"/>
      <c r="D56" s="20"/>
    </row>
    <row r="57" spans="1:15" ht="20.25">
      <c r="A57" s="89"/>
      <c r="B57" s="15"/>
      <c r="C57" s="20"/>
      <c r="D57" s="20"/>
    </row>
    <row r="58" spans="1:15" ht="20.25">
      <c r="A58" s="89"/>
      <c r="B58" s="15"/>
      <c r="C58" s="20"/>
      <c r="D58" s="20"/>
    </row>
    <row r="59" spans="1:15" ht="20.25">
      <c r="A59" s="89"/>
      <c r="B59" s="15"/>
      <c r="C59" s="20"/>
      <c r="D59" s="20"/>
    </row>
    <row r="60" spans="1:15" ht="20.25">
      <c r="A60" s="89"/>
      <c r="B60" s="15"/>
      <c r="C60" s="20"/>
      <c r="D60" s="20"/>
    </row>
    <row r="61" spans="1:15" ht="20.25">
      <c r="A61" s="89"/>
      <c r="B61" s="15"/>
      <c r="C61" s="20"/>
      <c r="D61" s="20"/>
    </row>
    <row r="62" spans="1:15" ht="20.25">
      <c r="A62" s="89"/>
      <c r="B62" s="15"/>
      <c r="C62" s="20"/>
      <c r="D62" s="20"/>
    </row>
    <row r="63" spans="1:15" ht="20.25">
      <c r="A63" s="89"/>
      <c r="B63" s="15"/>
      <c r="C63" s="20"/>
      <c r="D63" s="20"/>
    </row>
    <row r="64" spans="1:15" ht="20.25">
      <c r="A64" s="89"/>
      <c r="B64" s="15"/>
      <c r="C64" s="20"/>
      <c r="D64" s="20"/>
    </row>
    <row r="65" spans="1:4" ht="20.25">
      <c r="A65" s="89"/>
      <c r="B65" s="15"/>
      <c r="C65" s="20"/>
      <c r="D65" s="20"/>
    </row>
    <row r="66" spans="1:4" ht="20.25">
      <c r="A66" s="89"/>
      <c r="B66" s="15"/>
      <c r="C66" s="20"/>
      <c r="D66" s="20"/>
    </row>
    <row r="67" spans="1:4" ht="20.25">
      <c r="A67" s="89"/>
      <c r="B67" s="15"/>
      <c r="C67" s="20"/>
      <c r="D67" s="20"/>
    </row>
    <row r="68" spans="1:4" ht="20.25">
      <c r="A68" s="89"/>
      <c r="B68" s="15"/>
      <c r="C68" s="20"/>
      <c r="D68" s="20"/>
    </row>
    <row r="69" spans="1:4" ht="20.25">
      <c r="A69" s="89"/>
      <c r="B69" s="15"/>
      <c r="C69" s="20"/>
      <c r="D69" s="20"/>
    </row>
    <row r="70" spans="1:4" ht="20.25">
      <c r="A70" s="89"/>
      <c r="B70" s="15"/>
      <c r="C70" s="20"/>
      <c r="D70" s="20"/>
    </row>
    <row r="71" spans="1:4" ht="20.25">
      <c r="A71" s="89"/>
      <c r="B71" s="15"/>
      <c r="C71" s="20"/>
      <c r="D71" s="20"/>
    </row>
    <row r="72" spans="1:4" ht="20.25">
      <c r="A72" s="89"/>
      <c r="B72" s="15"/>
      <c r="C72" s="20"/>
      <c r="D72" s="20"/>
    </row>
    <row r="73" spans="1:4" ht="20.25">
      <c r="A73" s="89"/>
      <c r="B73" s="15"/>
      <c r="C73" s="20"/>
      <c r="D73" s="20"/>
    </row>
    <row r="74" spans="1:4" ht="20.25">
      <c r="A74" s="89"/>
      <c r="B74" s="15"/>
      <c r="C74" s="20"/>
      <c r="D74" s="20"/>
    </row>
    <row r="75" spans="1:4" ht="20.25">
      <c r="A75" s="89"/>
      <c r="B75" s="15"/>
      <c r="C75" s="20"/>
      <c r="D75" s="20"/>
    </row>
    <row r="76" spans="1:4" ht="20.25">
      <c r="A76" s="89"/>
      <c r="B76" s="15"/>
      <c r="C76" s="20"/>
      <c r="D76" s="20"/>
    </row>
    <row r="77" spans="1:4" ht="20.25">
      <c r="A77" s="89"/>
      <c r="B77" s="15"/>
      <c r="C77" s="20"/>
      <c r="D77" s="20"/>
    </row>
    <row r="78" spans="1:4" ht="20.25">
      <c r="A78" s="89"/>
      <c r="B78" s="15"/>
      <c r="C78" s="20"/>
      <c r="D78" s="20"/>
    </row>
    <row r="79" spans="1:4" ht="20.25">
      <c r="A79" s="89"/>
      <c r="B79" s="15"/>
      <c r="C79" s="20"/>
      <c r="D79" s="20"/>
    </row>
    <row r="80" spans="1:4" ht="20.25">
      <c r="A80" s="89"/>
      <c r="B80" s="15"/>
      <c r="C80" s="20"/>
      <c r="D80" s="20"/>
    </row>
    <row r="81" spans="1:4" ht="20.25">
      <c r="A81" s="89"/>
      <c r="B81" s="15"/>
      <c r="C81" s="20"/>
      <c r="D81" s="20"/>
    </row>
    <row r="82" spans="1:4" ht="20.25">
      <c r="A82" s="89"/>
      <c r="B82" s="15"/>
      <c r="C82" s="20"/>
      <c r="D82" s="20"/>
    </row>
    <row r="83" spans="1:4" ht="20.25">
      <c r="A83" s="89"/>
      <c r="B83" s="15"/>
      <c r="C83" s="20"/>
      <c r="D83" s="20"/>
    </row>
    <row r="84" spans="1:4" ht="20.25">
      <c r="A84" s="89"/>
      <c r="B84" s="15"/>
      <c r="C84" s="20"/>
      <c r="D84" s="20"/>
    </row>
    <row r="85" spans="1:4" ht="20.25">
      <c r="A85" s="89"/>
      <c r="B85" s="15"/>
      <c r="C85" s="20"/>
      <c r="D85" s="20"/>
    </row>
    <row r="86" spans="1:4" ht="20.25">
      <c r="A86" s="89"/>
      <c r="B86" s="15"/>
      <c r="C86" s="20"/>
      <c r="D86" s="20"/>
    </row>
    <row r="87" spans="1:4" ht="20.25">
      <c r="A87" s="89"/>
      <c r="B87" s="15"/>
      <c r="C87" s="20"/>
      <c r="D87" s="20"/>
    </row>
    <row r="88" spans="1:4" ht="20.25">
      <c r="A88" s="89"/>
      <c r="B88" s="15"/>
      <c r="C88" s="20"/>
      <c r="D88" s="20"/>
    </row>
    <row r="89" spans="1:4" ht="20.25">
      <c r="A89" s="89"/>
      <c r="B89" s="15"/>
      <c r="C89" s="20"/>
      <c r="D89" s="20"/>
    </row>
    <row r="90" spans="1:4" ht="20.25">
      <c r="A90" s="89"/>
      <c r="B90" s="15"/>
      <c r="C90" s="20"/>
      <c r="D90" s="20"/>
    </row>
    <row r="91" spans="1:4" ht="20.25">
      <c r="A91" s="89"/>
      <c r="B91" s="15"/>
      <c r="C91" s="20"/>
      <c r="D91" s="20"/>
    </row>
    <row r="92" spans="1:4" ht="20.25">
      <c r="A92" s="89"/>
      <c r="B92" s="15"/>
      <c r="C92" s="20"/>
      <c r="D92" s="20"/>
    </row>
    <row r="93" spans="1:4" ht="20.25">
      <c r="A93" s="89"/>
      <c r="B93" s="15"/>
      <c r="C93" s="20"/>
      <c r="D93" s="20"/>
    </row>
    <row r="94" spans="1:4" ht="20.25">
      <c r="A94" s="89"/>
      <c r="B94" s="15"/>
      <c r="C94" s="20"/>
      <c r="D94" s="20"/>
    </row>
    <row r="95" spans="1:4" ht="20.25">
      <c r="A95" s="89"/>
      <c r="B95" s="15"/>
      <c r="C95" s="20"/>
      <c r="D95" s="20"/>
    </row>
    <row r="96" spans="1:4" ht="20.25">
      <c r="A96" s="89"/>
      <c r="B96" s="15"/>
      <c r="C96" s="20"/>
      <c r="D96" s="20"/>
    </row>
    <row r="97" spans="1:4" ht="20.25">
      <c r="A97" s="89"/>
      <c r="B97" s="15"/>
      <c r="C97" s="20"/>
      <c r="D97" s="20"/>
    </row>
    <row r="98" spans="1:4" ht="20.25">
      <c r="A98" s="89"/>
      <c r="B98" s="15"/>
      <c r="C98" s="20"/>
      <c r="D98" s="20"/>
    </row>
    <row r="99" spans="1:4" ht="20.25">
      <c r="A99" s="89"/>
      <c r="B99" s="15"/>
      <c r="C99" s="20"/>
      <c r="D99" s="20"/>
    </row>
    <row r="100" spans="1:4" ht="20.25">
      <c r="A100" s="89"/>
      <c r="B100" s="15"/>
      <c r="C100" s="20"/>
      <c r="D100" s="20"/>
    </row>
    <row r="101" spans="1:4" ht="20.25">
      <c r="A101" s="89"/>
      <c r="B101" s="15"/>
      <c r="C101" s="20"/>
      <c r="D101" s="20"/>
    </row>
    <row r="102" spans="1:4" ht="20.25">
      <c r="A102" s="89"/>
      <c r="B102" s="15"/>
      <c r="C102" s="20"/>
      <c r="D102" s="20"/>
    </row>
    <row r="103" spans="1:4" ht="20.25">
      <c r="A103" s="89"/>
      <c r="B103" s="15"/>
      <c r="C103" s="20"/>
      <c r="D103" s="20"/>
    </row>
    <row r="104" spans="1:4" ht="20.25">
      <c r="A104" s="89"/>
      <c r="B104" s="15"/>
      <c r="C104" s="20"/>
      <c r="D104" s="20"/>
    </row>
    <row r="105" spans="1:4" ht="20.25">
      <c r="A105" s="89"/>
      <c r="B105" s="15"/>
      <c r="C105" s="20"/>
      <c r="D105" s="20"/>
    </row>
    <row r="106" spans="1:4" ht="20.25">
      <c r="A106" s="89"/>
      <c r="B106" s="15"/>
      <c r="C106" s="20"/>
      <c r="D106" s="20"/>
    </row>
    <row r="107" spans="1:4" ht="20.25">
      <c r="A107" s="89"/>
      <c r="B107" s="15"/>
      <c r="C107" s="20"/>
      <c r="D107" s="20"/>
    </row>
    <row r="108" spans="1:4" ht="20.25">
      <c r="A108" s="89"/>
      <c r="B108" s="15"/>
      <c r="C108" s="20"/>
      <c r="D108" s="20"/>
    </row>
    <row r="109" spans="1:4" ht="20.25">
      <c r="A109" s="89"/>
      <c r="B109" s="15"/>
      <c r="C109" s="20"/>
      <c r="D109" s="20"/>
    </row>
    <row r="110" spans="1:4" ht="20.25">
      <c r="A110" s="89"/>
      <c r="B110" s="15"/>
      <c r="C110" s="20"/>
      <c r="D110" s="20"/>
    </row>
    <row r="111" spans="1:4" ht="20.25">
      <c r="A111" s="89"/>
      <c r="B111" s="15"/>
      <c r="C111" s="20"/>
      <c r="D111" s="20"/>
    </row>
    <row r="112" spans="1:4" ht="20.25">
      <c r="A112" s="89"/>
      <c r="B112" s="15"/>
      <c r="C112" s="20"/>
      <c r="D112" s="20"/>
    </row>
    <row r="113" spans="1:4" ht="20.25">
      <c r="A113" s="89"/>
      <c r="B113" s="15"/>
      <c r="C113" s="20"/>
      <c r="D113" s="20"/>
    </row>
    <row r="114" spans="1:4" ht="20.25">
      <c r="A114" s="89"/>
      <c r="B114" s="15"/>
      <c r="C114" s="20"/>
      <c r="D114" s="20"/>
    </row>
    <row r="115" spans="1:4" ht="20.25">
      <c r="A115" s="89"/>
      <c r="B115" s="15"/>
      <c r="C115" s="20"/>
      <c r="D115" s="20"/>
    </row>
    <row r="116" spans="1:4" ht="20.25">
      <c r="A116" s="89"/>
      <c r="B116" s="15"/>
      <c r="C116" s="20"/>
      <c r="D116" s="20"/>
    </row>
    <row r="117" spans="1:4" ht="20.25">
      <c r="A117" s="89"/>
      <c r="B117" s="15"/>
      <c r="C117" s="20"/>
      <c r="D117" s="20"/>
    </row>
    <row r="118" spans="1:4" ht="20.25">
      <c r="A118" s="89"/>
      <c r="B118" s="15"/>
      <c r="C118" s="20"/>
      <c r="D118" s="20"/>
    </row>
    <row r="119" spans="1:4" ht="20.25">
      <c r="A119" s="89"/>
      <c r="B119" s="15"/>
      <c r="C119" s="20"/>
      <c r="D119" s="20"/>
    </row>
    <row r="120" spans="1:4" ht="20.25">
      <c r="A120" s="89"/>
      <c r="B120" s="15"/>
      <c r="C120" s="20"/>
      <c r="D120" s="20"/>
    </row>
    <row r="121" spans="1:4" ht="20.25">
      <c r="A121" s="89"/>
      <c r="B121" s="15"/>
      <c r="C121" s="20"/>
      <c r="D121" s="20"/>
    </row>
    <row r="122" spans="1:4" ht="20.25">
      <c r="A122" s="89"/>
      <c r="B122" s="15"/>
      <c r="C122" s="20"/>
      <c r="D122" s="20"/>
    </row>
    <row r="123" spans="1:4" ht="20.25">
      <c r="A123" s="89"/>
      <c r="B123" s="15"/>
      <c r="C123" s="20"/>
      <c r="D123" s="20"/>
    </row>
    <row r="124" spans="1:4" ht="20.25">
      <c r="A124" s="89"/>
      <c r="B124" s="15"/>
      <c r="C124" s="20"/>
      <c r="D124" s="20"/>
    </row>
    <row r="125" spans="1:4" ht="20.25">
      <c r="A125" s="89"/>
      <c r="B125" s="15"/>
      <c r="C125" s="20"/>
      <c r="D125" s="20"/>
    </row>
    <row r="126" spans="1:4" ht="20.25">
      <c r="A126" s="89"/>
      <c r="B126" s="15"/>
      <c r="C126" s="20"/>
      <c r="D126" s="20"/>
    </row>
    <row r="127" spans="1:4" ht="20.25">
      <c r="A127" s="89"/>
      <c r="B127" s="15"/>
      <c r="C127" s="20"/>
      <c r="D127" s="20"/>
    </row>
    <row r="128" spans="1:4" ht="20.25">
      <c r="A128" s="89"/>
      <c r="B128" s="15"/>
      <c r="C128" s="20"/>
      <c r="D128" s="20"/>
    </row>
    <row r="129" spans="1:4" ht="20.25">
      <c r="A129" s="89"/>
      <c r="B129" s="15"/>
      <c r="C129" s="20"/>
      <c r="D129" s="20"/>
    </row>
    <row r="130" spans="1:4" ht="20.25">
      <c r="A130" s="89"/>
      <c r="B130" s="15"/>
      <c r="C130" s="20"/>
      <c r="D130" s="20"/>
    </row>
    <row r="131" spans="1:4" ht="20.25">
      <c r="A131" s="89"/>
      <c r="B131" s="15"/>
      <c r="C131" s="20"/>
      <c r="D131" s="20"/>
    </row>
    <row r="132" spans="1:4" ht="20.25">
      <c r="A132" s="89"/>
      <c r="B132" s="15"/>
      <c r="C132" s="20"/>
      <c r="D132" s="20"/>
    </row>
    <row r="133" spans="1:4" ht="20.25">
      <c r="A133" s="89"/>
      <c r="B133" s="15"/>
      <c r="C133" s="20"/>
      <c r="D133" s="20"/>
    </row>
    <row r="134" spans="1:4" ht="20.25">
      <c r="A134" s="89"/>
      <c r="B134" s="15"/>
      <c r="C134" s="20"/>
      <c r="D134" s="20"/>
    </row>
    <row r="135" spans="1:4" ht="20.25">
      <c r="A135" s="89"/>
      <c r="B135" s="15"/>
      <c r="C135" s="20"/>
      <c r="D135" s="20"/>
    </row>
    <row r="136" spans="1:4" ht="20.25">
      <c r="A136" s="89"/>
      <c r="B136" s="15"/>
      <c r="C136" s="20"/>
      <c r="D136" s="20"/>
    </row>
    <row r="137" spans="1:4" ht="20.25">
      <c r="A137" s="89"/>
      <c r="B137" s="15"/>
      <c r="C137" s="20"/>
      <c r="D137" s="20"/>
    </row>
    <row r="138" spans="1:4" ht="20.25">
      <c r="A138" s="89"/>
      <c r="B138" s="15"/>
      <c r="C138" s="20"/>
      <c r="D138" s="20"/>
    </row>
    <row r="139" spans="1:4" ht="20.25">
      <c r="A139" s="89"/>
      <c r="B139" s="15"/>
      <c r="C139" s="20"/>
      <c r="D139" s="20"/>
    </row>
    <row r="140" spans="1:4" ht="20.25">
      <c r="A140" s="89"/>
      <c r="B140" s="15"/>
      <c r="C140" s="20"/>
      <c r="D140" s="20"/>
    </row>
    <row r="141" spans="1:4" ht="20.25">
      <c r="A141" s="89"/>
      <c r="B141" s="15"/>
      <c r="C141" s="20"/>
      <c r="D141" s="20"/>
    </row>
    <row r="142" spans="1:4" ht="20.25">
      <c r="A142" s="89"/>
      <c r="B142" s="15"/>
      <c r="C142" s="20"/>
      <c r="D142" s="20"/>
    </row>
    <row r="143" spans="1:4" ht="20.25">
      <c r="A143" s="89"/>
      <c r="B143" s="15"/>
      <c r="C143" s="20"/>
      <c r="D143" s="20"/>
    </row>
    <row r="144" spans="1:4" ht="20.25">
      <c r="A144" s="89"/>
      <c r="B144" s="15"/>
      <c r="C144" s="20"/>
      <c r="D144" s="20"/>
    </row>
    <row r="145" spans="1:4" ht="20.25">
      <c r="A145" s="89"/>
      <c r="B145" s="15"/>
      <c r="C145" s="20"/>
      <c r="D145" s="20"/>
    </row>
    <row r="146" spans="1:4" ht="20.25">
      <c r="A146" s="89"/>
      <c r="B146" s="15"/>
      <c r="C146" s="20"/>
      <c r="D146" s="20"/>
    </row>
    <row r="147" spans="1:4" ht="20.25">
      <c r="A147" s="89"/>
      <c r="B147" s="15"/>
      <c r="C147" s="20"/>
      <c r="D147" s="20"/>
    </row>
    <row r="148" spans="1:4" ht="20.25">
      <c r="A148" s="89"/>
      <c r="B148" s="15"/>
      <c r="C148" s="20"/>
      <c r="D148" s="20"/>
    </row>
    <row r="149" spans="1:4" ht="20.25">
      <c r="A149" s="89"/>
      <c r="B149" s="15"/>
      <c r="C149" s="20"/>
      <c r="D149" s="20"/>
    </row>
    <row r="150" spans="1:4" ht="20.25">
      <c r="A150" s="89"/>
      <c r="B150" s="15"/>
      <c r="C150" s="20"/>
      <c r="D150" s="20"/>
    </row>
    <row r="151" spans="1:4" ht="20.25">
      <c r="A151" s="89"/>
      <c r="B151" s="15"/>
      <c r="C151" s="20"/>
      <c r="D151" s="20"/>
    </row>
    <row r="152" spans="1:4" ht="20.25">
      <c r="A152" s="89"/>
      <c r="B152" s="15"/>
      <c r="C152" s="20"/>
      <c r="D152" s="20"/>
    </row>
    <row r="153" spans="1:4" ht="20.25">
      <c r="A153" s="89"/>
      <c r="B153" s="15"/>
      <c r="C153" s="20"/>
      <c r="D153" s="20"/>
    </row>
    <row r="154" spans="1:4" ht="20.25">
      <c r="A154" s="89"/>
      <c r="B154" s="15"/>
      <c r="C154" s="20"/>
      <c r="D154" s="20"/>
    </row>
    <row r="155" spans="1:4" ht="20.25">
      <c r="A155" s="89"/>
      <c r="B155" s="15"/>
      <c r="C155" s="20"/>
      <c r="D155" s="20"/>
    </row>
    <row r="156" spans="1:4" ht="20.25">
      <c r="A156" s="89"/>
      <c r="B156" s="15"/>
      <c r="C156" s="20"/>
      <c r="D156" s="20"/>
    </row>
    <row r="157" spans="1:4" ht="20.25">
      <c r="A157" s="89"/>
      <c r="B157" s="15"/>
      <c r="C157" s="20"/>
      <c r="D157" s="20"/>
    </row>
    <row r="158" spans="1:4" ht="20.25">
      <c r="A158" s="89"/>
      <c r="B158" s="15"/>
      <c r="C158" s="20"/>
      <c r="D158" s="20"/>
    </row>
    <row r="159" spans="1:4" ht="20.25">
      <c r="A159" s="89"/>
      <c r="B159" s="15"/>
      <c r="C159" s="20"/>
      <c r="D159" s="20"/>
    </row>
    <row r="160" spans="1:4" ht="20.25">
      <c r="A160" s="89"/>
      <c r="B160" s="15"/>
      <c r="C160" s="20"/>
      <c r="D160" s="20"/>
    </row>
    <row r="161" spans="1:4" ht="20.25">
      <c r="A161" s="89"/>
      <c r="B161" s="15"/>
      <c r="C161" s="20"/>
      <c r="D161" s="20"/>
    </row>
    <row r="162" spans="1:4" ht="20.25">
      <c r="A162" s="89"/>
      <c r="B162" s="15"/>
      <c r="C162" s="20"/>
      <c r="D162" s="20"/>
    </row>
    <row r="163" spans="1:4" ht="20.25">
      <c r="A163" s="89"/>
      <c r="B163" s="15"/>
      <c r="C163" s="20"/>
      <c r="D163" s="20"/>
    </row>
    <row r="164" spans="1:4" ht="20.25">
      <c r="A164" s="89"/>
      <c r="B164" s="15"/>
      <c r="C164" s="20"/>
      <c r="D164" s="20"/>
    </row>
    <row r="165" spans="1:4" ht="20.25">
      <c r="A165" s="89"/>
      <c r="B165" s="15"/>
      <c r="C165" s="20"/>
      <c r="D165" s="20"/>
    </row>
    <row r="166" spans="1:4" ht="20.25">
      <c r="A166" s="89"/>
      <c r="B166" s="15"/>
      <c r="C166" s="20"/>
      <c r="D166" s="20"/>
    </row>
    <row r="167" spans="1:4" ht="20.25">
      <c r="A167" s="89"/>
      <c r="B167" s="15"/>
      <c r="C167" s="20"/>
      <c r="D167" s="20"/>
    </row>
    <row r="168" spans="1:4" ht="20.25">
      <c r="A168" s="89"/>
      <c r="B168" s="15"/>
      <c r="C168" s="20"/>
      <c r="D168" s="20"/>
    </row>
    <row r="169" spans="1:4" ht="20.25">
      <c r="A169" s="89"/>
      <c r="B169" s="15"/>
      <c r="C169" s="20"/>
      <c r="D169" s="20"/>
    </row>
    <row r="170" spans="1:4" ht="20.25">
      <c r="A170" s="89"/>
      <c r="B170" s="15"/>
      <c r="C170" s="20"/>
      <c r="D170" s="20"/>
    </row>
    <row r="171" spans="1:4" ht="20.25">
      <c r="A171" s="89"/>
      <c r="B171" s="15"/>
      <c r="C171" s="20"/>
      <c r="D171" s="20"/>
    </row>
    <row r="172" spans="1:4" ht="20.25">
      <c r="A172" s="89"/>
      <c r="B172" s="15"/>
      <c r="C172" s="20"/>
      <c r="D172" s="20"/>
    </row>
    <row r="173" spans="1:4" ht="20.25">
      <c r="A173" s="89"/>
      <c r="B173" s="15"/>
      <c r="C173" s="20"/>
      <c r="D173" s="20"/>
    </row>
    <row r="174" spans="1:4" ht="20.25">
      <c r="A174" s="89"/>
      <c r="B174" s="15"/>
      <c r="C174" s="20"/>
      <c r="D174" s="20"/>
    </row>
    <row r="175" spans="1:4" ht="20.25">
      <c r="A175" s="89"/>
      <c r="B175" s="15"/>
      <c r="C175" s="20"/>
      <c r="D175" s="20"/>
    </row>
    <row r="176" spans="1:4" ht="20.25">
      <c r="A176" s="89"/>
      <c r="B176" s="15"/>
      <c r="C176" s="20"/>
      <c r="D176" s="20"/>
    </row>
    <row r="177" spans="1:4" ht="20.25">
      <c r="A177" s="89"/>
      <c r="B177" s="15"/>
      <c r="C177" s="20"/>
      <c r="D177" s="20"/>
    </row>
    <row r="178" spans="1:4" ht="20.25">
      <c r="A178" s="89"/>
      <c r="B178" s="15"/>
      <c r="C178" s="20"/>
      <c r="D178" s="20"/>
    </row>
    <row r="179" spans="1:4" ht="20.25">
      <c r="A179" s="89"/>
      <c r="B179" s="15"/>
      <c r="C179" s="20"/>
      <c r="D179" s="20"/>
    </row>
    <row r="180" spans="1:4" ht="20.25">
      <c r="A180" s="89"/>
      <c r="B180" s="15"/>
      <c r="C180" s="20"/>
      <c r="D180" s="20"/>
    </row>
    <row r="181" spans="1:4" ht="20.25">
      <c r="A181" s="89"/>
      <c r="B181" s="15"/>
      <c r="C181" s="20"/>
      <c r="D181" s="20"/>
    </row>
    <row r="182" spans="1:4" ht="20.25">
      <c r="A182" s="89"/>
      <c r="B182" s="15"/>
      <c r="C182" s="20"/>
      <c r="D182" s="20"/>
    </row>
    <row r="183" spans="1:4" ht="20.25">
      <c r="A183" s="89"/>
      <c r="B183" s="15"/>
      <c r="C183" s="20"/>
      <c r="D183" s="20"/>
    </row>
    <row r="184" spans="1:4" ht="20.25">
      <c r="A184" s="89"/>
      <c r="B184" s="15"/>
      <c r="C184" s="20"/>
      <c r="D184" s="20"/>
    </row>
    <row r="185" spans="1:4" ht="20.25">
      <c r="A185" s="89"/>
      <c r="B185" s="15"/>
      <c r="C185" s="20"/>
      <c r="D185" s="20"/>
    </row>
    <row r="186" spans="1:4" ht="20.25">
      <c r="A186" s="89"/>
      <c r="B186" s="15"/>
      <c r="C186" s="20"/>
      <c r="D186" s="20"/>
    </row>
    <row r="187" spans="1:4" ht="20.25">
      <c r="A187" s="89"/>
      <c r="B187" s="15"/>
      <c r="C187" s="20"/>
      <c r="D187" s="20"/>
    </row>
    <row r="188" spans="1:4" ht="20.25">
      <c r="A188" s="89"/>
      <c r="B188" s="15"/>
      <c r="C188" s="20"/>
      <c r="D188" s="20"/>
    </row>
    <row r="189" spans="1:4" ht="20.25">
      <c r="A189" s="89"/>
      <c r="B189" s="15"/>
      <c r="C189" s="20"/>
      <c r="D189" s="20"/>
    </row>
    <row r="190" spans="1:4" ht="20.25">
      <c r="A190" s="89"/>
      <c r="B190" s="15"/>
      <c r="C190" s="20"/>
      <c r="D190" s="20"/>
    </row>
    <row r="191" spans="1:4" ht="20.25">
      <c r="A191" s="89"/>
      <c r="B191" s="15"/>
      <c r="C191" s="20"/>
      <c r="D191" s="20"/>
    </row>
    <row r="192" spans="1:4" ht="20.25">
      <c r="A192" s="89"/>
      <c r="B192" s="15"/>
      <c r="C192" s="20"/>
      <c r="D192" s="20"/>
    </row>
    <row r="193" spans="1:4" ht="20.25">
      <c r="A193" s="89"/>
      <c r="B193" s="15"/>
      <c r="C193" s="20"/>
      <c r="D193" s="20"/>
    </row>
    <row r="194" spans="1:4" ht="20.25">
      <c r="A194" s="89"/>
      <c r="B194" s="15"/>
      <c r="C194" s="20"/>
      <c r="D194" s="20"/>
    </row>
    <row r="195" spans="1:4" ht="20.25">
      <c r="A195" s="89"/>
      <c r="B195" s="15"/>
      <c r="C195" s="20"/>
      <c r="D195" s="20"/>
    </row>
    <row r="196" spans="1:4" ht="20.25">
      <c r="A196" s="89"/>
      <c r="B196" s="15"/>
      <c r="C196" s="20"/>
      <c r="D196" s="20"/>
    </row>
    <row r="197" spans="1:4" ht="20.25">
      <c r="A197" s="89"/>
      <c r="B197" s="15"/>
      <c r="C197" s="20"/>
      <c r="D197" s="20"/>
    </row>
    <row r="198" spans="1:4" ht="20.25">
      <c r="A198" s="89"/>
      <c r="B198" s="15"/>
      <c r="C198" s="20"/>
      <c r="D198" s="20"/>
    </row>
    <row r="199" spans="1:4" ht="20.25">
      <c r="A199" s="89"/>
      <c r="B199" s="15"/>
      <c r="C199" s="20"/>
      <c r="D199" s="20"/>
    </row>
    <row r="200" spans="1:4" ht="20.25">
      <c r="A200" s="89"/>
      <c r="B200" s="15"/>
      <c r="C200" s="20"/>
      <c r="D200" s="20"/>
    </row>
    <row r="201" spans="1:4" ht="20.25">
      <c r="A201" s="89"/>
      <c r="B201" s="15"/>
      <c r="C201" s="20"/>
      <c r="D201" s="20"/>
    </row>
    <row r="202" spans="1:4" ht="20.25">
      <c r="A202" s="89"/>
      <c r="B202" s="15"/>
      <c r="C202" s="20"/>
      <c r="D202" s="20"/>
    </row>
    <row r="203" spans="1:4" ht="20.25">
      <c r="A203" s="89"/>
      <c r="B203" s="15"/>
      <c r="C203" s="20"/>
      <c r="D203" s="20"/>
    </row>
    <row r="204" spans="1:4" ht="20.25">
      <c r="A204" s="89"/>
      <c r="B204" s="15"/>
      <c r="C204" s="20"/>
      <c r="D204" s="20"/>
    </row>
    <row r="205" spans="1:4" ht="20.25">
      <c r="A205" s="89"/>
      <c r="B205" s="15"/>
      <c r="C205" s="20"/>
      <c r="D205" s="20"/>
    </row>
    <row r="206" spans="1:4" ht="20.25">
      <c r="A206" s="89"/>
      <c r="B206" s="15"/>
      <c r="C206" s="20"/>
      <c r="D206" s="20"/>
    </row>
    <row r="207" spans="1:4" ht="20.25">
      <c r="A207" s="89"/>
      <c r="B207" s="15"/>
      <c r="C207" s="20"/>
      <c r="D207" s="20"/>
    </row>
    <row r="208" spans="1:4">
      <c r="A208" s="69"/>
      <c r="B208" s="15"/>
      <c r="C208" s="15"/>
      <c r="D208" s="15"/>
    </row>
    <row r="209" spans="1:8" ht="20.25">
      <c r="A209" s="69"/>
      <c r="B209" s="16" t="s">
        <v>414</v>
      </c>
      <c r="C209" s="16" t="s">
        <v>415</v>
      </c>
      <c r="D209" s="19" t="s">
        <v>414</v>
      </c>
      <c r="E209" s="19" t="s">
        <v>415</v>
      </c>
    </row>
    <row r="210" spans="1:8" ht="21">
      <c r="A210" s="69"/>
      <c r="B210" s="17" t="s">
        <v>416</v>
      </c>
      <c r="C210" s="17" t="s">
        <v>417</v>
      </c>
      <c r="D210" t="s">
        <v>416</v>
      </c>
      <c r="F210" t="str">
        <f>IF(NOT(ISBLANK(D210)),D210,IF(NOT(ISBLANK(E210)),"     "&amp;E210,FALSE))</f>
        <v>Afectación Económica o presupuestal</v>
      </c>
      <c r="G210" t="s">
        <v>416</v>
      </c>
      <c r="H210" t="str">
        <f>IF(NOT(ISERROR(MATCH(G210,_xlfn.ANCHORARRAY(B221),0))),F223&amp;"Por favor no seleccionar los criterios de impacto",G210)</f>
        <v>❌Por favor no seleccionar los criterios de impacto</v>
      </c>
    </row>
    <row r="211" spans="1:8" ht="21">
      <c r="A211" s="69"/>
      <c r="B211" s="17" t="s">
        <v>416</v>
      </c>
      <c r="C211" s="17" t="s">
        <v>391</v>
      </c>
      <c r="E211" t="s">
        <v>417</v>
      </c>
      <c r="F211" t="str">
        <f t="shared" ref="F211:F221" si="0">IF(NOT(ISBLANK(D211)),D211,IF(NOT(ISBLANK(E211)),"     "&amp;E211,FALSE))</f>
        <v xml:space="preserve">     Afectación menor a 10 SMLMV .</v>
      </c>
    </row>
    <row r="212" spans="1:8" ht="21">
      <c r="A212" s="69"/>
      <c r="B212" s="17" t="s">
        <v>416</v>
      </c>
      <c r="C212" s="17" t="s">
        <v>394</v>
      </c>
      <c r="E212" t="s">
        <v>391</v>
      </c>
      <c r="F212" t="str">
        <f t="shared" si="0"/>
        <v xml:space="preserve">     Entre 10 y 50 SMLMV </v>
      </c>
    </row>
    <row r="213" spans="1:8" ht="21">
      <c r="A213" s="69"/>
      <c r="B213" s="17" t="s">
        <v>416</v>
      </c>
      <c r="C213" s="17" t="s">
        <v>398</v>
      </c>
      <c r="E213" t="s">
        <v>394</v>
      </c>
      <c r="F213" t="str">
        <f t="shared" si="0"/>
        <v xml:space="preserve">     Entre 50 y 100 SMLMV </v>
      </c>
    </row>
    <row r="214" spans="1:8" ht="21">
      <c r="A214" s="69"/>
      <c r="B214" s="17" t="s">
        <v>416</v>
      </c>
      <c r="C214" s="17" t="s">
        <v>402</v>
      </c>
      <c r="E214" t="s">
        <v>398</v>
      </c>
      <c r="F214" t="str">
        <f t="shared" si="0"/>
        <v xml:space="preserve">     Entre 100 y 500 SMLMV </v>
      </c>
    </row>
    <row r="215" spans="1:8" ht="21">
      <c r="A215" s="69"/>
      <c r="B215" s="17" t="s">
        <v>384</v>
      </c>
      <c r="C215" s="17" t="s">
        <v>388</v>
      </c>
      <c r="E215" t="s">
        <v>402</v>
      </c>
      <c r="F215" t="str">
        <f t="shared" si="0"/>
        <v xml:space="preserve">     Mayor a 500 SMLMV </v>
      </c>
    </row>
    <row r="216" spans="1:8" ht="21">
      <c r="A216" s="69"/>
      <c r="B216" s="17" t="s">
        <v>384</v>
      </c>
      <c r="C216" s="17" t="s">
        <v>392</v>
      </c>
      <c r="D216" t="s">
        <v>384</v>
      </c>
      <c r="F216" t="str">
        <f t="shared" si="0"/>
        <v>Pérdida Reputacional</v>
      </c>
    </row>
    <row r="217" spans="1:8" ht="21">
      <c r="A217" s="69"/>
      <c r="B217" s="17" t="s">
        <v>384</v>
      </c>
      <c r="C217" s="17" t="s">
        <v>395</v>
      </c>
      <c r="E217" t="s">
        <v>388</v>
      </c>
      <c r="F217" t="str">
        <f t="shared" si="0"/>
        <v xml:space="preserve">     El riesgo afecta la imagen de alguna área de la organización</v>
      </c>
    </row>
    <row r="218" spans="1:8" ht="21">
      <c r="A218" s="69"/>
      <c r="B218" s="17" t="s">
        <v>384</v>
      </c>
      <c r="C218" s="17" t="s">
        <v>418</v>
      </c>
      <c r="E218" t="s">
        <v>392</v>
      </c>
      <c r="F218" t="str">
        <f t="shared" si="0"/>
        <v xml:space="preserve">     El riesgo afecta la imagen de la entidad internamente, de conocimiento general, nivel interno, de junta dircetiva y accionistas y/o de provedores</v>
      </c>
    </row>
    <row r="219" spans="1:8" ht="21">
      <c r="A219" s="69"/>
      <c r="B219" s="17" t="s">
        <v>384</v>
      </c>
      <c r="C219" s="17" t="s">
        <v>403</v>
      </c>
      <c r="E219" t="s">
        <v>395</v>
      </c>
      <c r="F219" t="str">
        <f t="shared" si="0"/>
        <v xml:space="preserve">     El riesgo afecta la imagen de la entidad con algunos usuarios de relevancia frente al logro de los objetivos</v>
      </c>
    </row>
    <row r="220" spans="1:8">
      <c r="A220" s="69"/>
      <c r="B220" s="18"/>
      <c r="C220" s="18"/>
      <c r="E220" t="s">
        <v>418</v>
      </c>
      <c r="F220" t="str">
        <f t="shared" si="0"/>
        <v xml:space="preserve">     El riesgo afecta la imagen de de la entidad con efecto publicitario sostenido a nivel de sector administrativo, nivel departamental o municipal</v>
      </c>
    </row>
    <row r="221" spans="1:8">
      <c r="A221" s="69"/>
      <c r="B221" s="18" t="str" cm="1">
        <f t="array" ref="B221:B223">_xlfn.UNIQUE(Tabla1[[#All],[Criterios]])</f>
        <v>Criterios</v>
      </c>
      <c r="C221" s="18"/>
      <c r="E221" t="s">
        <v>403</v>
      </c>
      <c r="F221" t="str">
        <f t="shared" si="0"/>
        <v xml:space="preserve">     El riesgo afecta la imagen de la entidad a nivel nacional, con efecto publicitarios sostenible a nivel país</v>
      </c>
    </row>
    <row r="222" spans="1:8">
      <c r="A222" s="69"/>
      <c r="B222" s="18" t="str">
        <v>Afectación Económica o presupuestal</v>
      </c>
      <c r="C222" s="18"/>
    </row>
    <row r="223" spans="1:8">
      <c r="B223" s="18" t="str">
        <v>Pérdida Reputacional</v>
      </c>
      <c r="C223" s="18"/>
      <c r="F223" s="21" t="s">
        <v>419</v>
      </c>
    </row>
    <row r="224" spans="1:8">
      <c r="B224" s="14"/>
      <c r="C224" s="14"/>
      <c r="F224" s="21" t="s">
        <v>420</v>
      </c>
    </row>
    <row r="225" spans="2:4">
      <c r="B225" s="14"/>
      <c r="C225" s="14"/>
    </row>
    <row r="226" spans="2:4">
      <c r="B226" s="14"/>
      <c r="C226" s="14"/>
    </row>
    <row r="227" spans="2:4">
      <c r="B227" s="14"/>
      <c r="C227" s="14"/>
      <c r="D227" s="14"/>
    </row>
    <row r="228" spans="2:4">
      <c r="B228" s="14"/>
      <c r="C228" s="14"/>
      <c r="D228" s="14"/>
    </row>
    <row r="229" spans="2:4">
      <c r="B229" s="14"/>
      <c r="C229" s="14"/>
      <c r="D229" s="14"/>
    </row>
    <row r="230" spans="2:4">
      <c r="B230" s="14"/>
      <c r="C230" s="14"/>
      <c r="D230" s="14"/>
    </row>
    <row r="231" spans="2:4">
      <c r="B231" s="14"/>
      <c r="C231" s="14"/>
      <c r="D231" s="14"/>
    </row>
    <row r="232" spans="2:4">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defaultColWidth="14.28515625" defaultRowHeight="12.75"/>
  <cols>
    <col min="1" max="2" width="14.28515625" style="74"/>
    <col min="3" max="3" width="17" style="74" customWidth="1"/>
    <col min="4" max="4" width="14.28515625" style="74"/>
    <col min="5" max="5" width="46" style="74" customWidth="1"/>
    <col min="6" max="16384" width="14.28515625" style="74"/>
  </cols>
  <sheetData>
    <row r="1" spans="2:6" ht="24" customHeight="1" thickBot="1">
      <c r="B1" s="642" t="s">
        <v>421</v>
      </c>
      <c r="C1" s="643"/>
      <c r="D1" s="643"/>
      <c r="E1" s="643"/>
      <c r="F1" s="644"/>
    </row>
    <row r="2" spans="2:6" ht="16.5" thickBot="1">
      <c r="B2" s="75"/>
      <c r="C2" s="75"/>
      <c r="D2" s="75"/>
      <c r="E2" s="75"/>
      <c r="F2" s="75"/>
    </row>
    <row r="3" spans="2:6" ht="16.5" thickBot="1">
      <c r="B3" s="646" t="s">
        <v>422</v>
      </c>
      <c r="C3" s="647"/>
      <c r="D3" s="647"/>
      <c r="E3" s="87" t="s">
        <v>423</v>
      </c>
      <c r="F3" s="88" t="s">
        <v>424</v>
      </c>
    </row>
    <row r="4" spans="2:6" ht="31.5">
      <c r="B4" s="648" t="s">
        <v>425</v>
      </c>
      <c r="C4" s="650" t="s">
        <v>98</v>
      </c>
      <c r="D4" s="76" t="s">
        <v>117</v>
      </c>
      <c r="E4" s="77" t="s">
        <v>426</v>
      </c>
      <c r="F4" s="78">
        <v>0.25</v>
      </c>
    </row>
    <row r="5" spans="2:6" ht="47.25">
      <c r="B5" s="649"/>
      <c r="C5" s="651"/>
      <c r="D5" s="79" t="s">
        <v>188</v>
      </c>
      <c r="E5" s="80" t="s">
        <v>427</v>
      </c>
      <c r="F5" s="81">
        <v>0.15</v>
      </c>
    </row>
    <row r="6" spans="2:6" ht="47.25">
      <c r="B6" s="649"/>
      <c r="C6" s="651"/>
      <c r="D6" s="79" t="s">
        <v>199</v>
      </c>
      <c r="E6" s="80" t="s">
        <v>428</v>
      </c>
      <c r="F6" s="81">
        <v>0.1</v>
      </c>
    </row>
    <row r="7" spans="2:6" ht="63">
      <c r="B7" s="649"/>
      <c r="C7" s="651" t="s">
        <v>99</v>
      </c>
      <c r="D7" s="79" t="s">
        <v>178</v>
      </c>
      <c r="E7" s="80" t="s">
        <v>429</v>
      </c>
      <c r="F7" s="81">
        <v>0.25</v>
      </c>
    </row>
    <row r="8" spans="2:6" ht="31.5">
      <c r="B8" s="649"/>
      <c r="C8" s="651"/>
      <c r="D8" s="79" t="s">
        <v>118</v>
      </c>
      <c r="E8" s="80" t="s">
        <v>430</v>
      </c>
      <c r="F8" s="81">
        <v>0.15</v>
      </c>
    </row>
    <row r="9" spans="2:6" ht="47.25">
      <c r="B9" s="649" t="s">
        <v>431</v>
      </c>
      <c r="C9" s="651" t="s">
        <v>54</v>
      </c>
      <c r="D9" s="79" t="s">
        <v>119</v>
      </c>
      <c r="E9" s="80" t="s">
        <v>432</v>
      </c>
      <c r="F9" s="82" t="s">
        <v>433</v>
      </c>
    </row>
    <row r="10" spans="2:6" ht="63">
      <c r="B10" s="649"/>
      <c r="C10" s="651"/>
      <c r="D10" s="79" t="s">
        <v>189</v>
      </c>
      <c r="E10" s="80" t="s">
        <v>434</v>
      </c>
      <c r="F10" s="82" t="s">
        <v>433</v>
      </c>
    </row>
    <row r="11" spans="2:6" ht="47.25">
      <c r="B11" s="649"/>
      <c r="C11" s="651" t="s">
        <v>101</v>
      </c>
      <c r="D11" s="79" t="s">
        <v>120</v>
      </c>
      <c r="E11" s="80" t="s">
        <v>435</v>
      </c>
      <c r="F11" s="82" t="s">
        <v>433</v>
      </c>
    </row>
    <row r="12" spans="2:6" ht="47.25">
      <c r="B12" s="649"/>
      <c r="C12" s="651"/>
      <c r="D12" s="79" t="s">
        <v>131</v>
      </c>
      <c r="E12" s="80" t="s">
        <v>436</v>
      </c>
      <c r="F12" s="82" t="s">
        <v>433</v>
      </c>
    </row>
    <row r="13" spans="2:6" ht="31.5">
      <c r="B13" s="649"/>
      <c r="C13" s="651" t="s">
        <v>102</v>
      </c>
      <c r="D13" s="79" t="s">
        <v>121</v>
      </c>
      <c r="E13" s="80" t="s">
        <v>437</v>
      </c>
      <c r="F13" s="82" t="s">
        <v>433</v>
      </c>
    </row>
    <row r="14" spans="2:6" ht="32.25" thickBot="1">
      <c r="B14" s="652"/>
      <c r="C14" s="653"/>
      <c r="D14" s="83" t="s">
        <v>438</v>
      </c>
      <c r="E14" s="84" t="s">
        <v>439</v>
      </c>
      <c r="F14" s="85" t="s">
        <v>433</v>
      </c>
    </row>
    <row r="15" spans="2:6" ht="49.5" customHeight="1">
      <c r="B15" s="645" t="s">
        <v>440</v>
      </c>
      <c r="C15" s="645"/>
      <c r="D15" s="645"/>
      <c r="E15" s="645"/>
      <c r="F15" s="645"/>
    </row>
    <row r="16" spans="2:6" ht="27" customHeight="1">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defaultColWidth="11.42578125" defaultRowHeight="15"/>
  <sheetData>
    <row r="2" spans="2:5">
      <c r="B2" t="s">
        <v>180</v>
      </c>
      <c r="E2" t="s">
        <v>175</v>
      </c>
    </row>
    <row r="3" spans="2:5">
      <c r="B3" t="s">
        <v>191</v>
      </c>
      <c r="E3" t="s">
        <v>105</v>
      </c>
    </row>
    <row r="4" spans="2:5">
      <c r="B4" t="s">
        <v>212</v>
      </c>
      <c r="E4" t="s">
        <v>194</v>
      </c>
    </row>
    <row r="5" spans="2:5">
      <c r="B5" t="s">
        <v>123</v>
      </c>
    </row>
    <row r="8" spans="2:5">
      <c r="B8" t="s">
        <v>173</v>
      </c>
    </row>
    <row r="9" spans="2:5">
      <c r="B9" t="s">
        <v>181</v>
      </c>
    </row>
    <row r="10" spans="2:5">
      <c r="B10" t="s">
        <v>127</v>
      </c>
    </row>
    <row r="13" spans="2:5">
      <c r="B13" t="s">
        <v>177</v>
      </c>
    </row>
    <row r="14" spans="2:5">
      <c r="B14" t="s">
        <v>186</v>
      </c>
    </row>
    <row r="15" spans="2:5">
      <c r="B15" t="s">
        <v>197</v>
      </c>
    </row>
    <row r="16" spans="2:5">
      <c r="B16" t="s">
        <v>204</v>
      </c>
    </row>
    <row r="17" spans="2:2">
      <c r="B17" t="s">
        <v>210</v>
      </c>
    </row>
    <row r="18" spans="2:2">
      <c r="B18" t="s">
        <v>213</v>
      </c>
    </row>
    <row r="19" spans="2:2">
      <c r="B19" t="s">
        <v>216</v>
      </c>
    </row>
  </sheetData>
  <sortState xmlns:xlrd2="http://schemas.microsoft.com/office/spreadsheetml/2017/richdata2"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defaultColWidth="11.42578125" defaultRowHeight="12.75"/>
  <cols>
    <col min="1" max="1" width="32.7109375" style="1" customWidth="1"/>
    <col min="2" max="16384" width="11.42578125" style="1"/>
  </cols>
  <sheetData>
    <row r="3" spans="1:1">
      <c r="A3" s="2" t="s">
        <v>117</v>
      </c>
    </row>
    <row r="4" spans="1:1">
      <c r="A4" s="2" t="s">
        <v>188</v>
      </c>
    </row>
    <row r="5" spans="1:1">
      <c r="A5" s="2" t="s">
        <v>199</v>
      </c>
    </row>
    <row r="6" spans="1:1">
      <c r="A6" s="2" t="s">
        <v>178</v>
      </c>
    </row>
    <row r="7" spans="1:1">
      <c r="A7" s="2" t="s">
        <v>118</v>
      </c>
    </row>
    <row r="8" spans="1:1">
      <c r="A8" s="2" t="s">
        <v>119</v>
      </c>
    </row>
    <row r="9" spans="1:1">
      <c r="A9" s="2" t="s">
        <v>189</v>
      </c>
    </row>
    <row r="10" spans="1:1">
      <c r="A10" s="2" t="s">
        <v>120</v>
      </c>
    </row>
    <row r="11" spans="1:1">
      <c r="A11" s="2" t="s">
        <v>131</v>
      </c>
    </row>
    <row r="12" spans="1:1">
      <c r="A12" s="2" t="s">
        <v>179</v>
      </c>
    </row>
    <row r="13" spans="1:1">
      <c r="A13" s="2" t="s">
        <v>190</v>
      </c>
    </row>
    <row r="14" spans="1:1">
      <c r="A14" s="2" t="s">
        <v>200</v>
      </c>
    </row>
    <row r="16" spans="1:1">
      <c r="A16" s="2" t="s">
        <v>201</v>
      </c>
    </row>
    <row r="17" spans="1:1">
      <c r="A17" s="2" t="s">
        <v>180</v>
      </c>
    </row>
    <row r="18" spans="1:1">
      <c r="A18" s="2" t="s">
        <v>191</v>
      </c>
    </row>
    <row r="20" spans="1:1">
      <c r="A20" s="2" t="s">
        <v>181</v>
      </c>
    </row>
    <row r="21" spans="1:1">
      <c r="A21" s="2"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ANAY PINTO VALENCIA-Analista de procesos</dc:creator>
  <cp:keywords/>
  <dc:description/>
  <cp:lastModifiedBy>Calidad ETITC</cp:lastModifiedBy>
  <cp:revision/>
  <dcterms:created xsi:type="dcterms:W3CDTF">2020-03-24T23:12:47Z</dcterms:created>
  <dcterms:modified xsi:type="dcterms:W3CDTF">2025-05-15T15:44:30Z</dcterms:modified>
  <cp:category/>
  <cp:contentStatus/>
</cp:coreProperties>
</file>