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80" documentId="8_{73CBCB58-695E-43A4-B8DF-CD3BFC65B2E3}" xr6:coauthVersionLast="47" xr6:coauthVersionMax="47" xr10:uidLastSave="{7BC9C0DD-BDBF-4E82-9CC1-480C421EC1CB}"/>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6" i="1" l="1"/>
  <c r="V16" i="1"/>
  <c r="O16" i="1"/>
  <c r="P16" i="1" s="1"/>
  <c r="Q16" i="1" s="1"/>
  <c r="L16" i="1"/>
  <c r="M16" i="1" s="1"/>
  <c r="Y15" i="1"/>
  <c r="V15" i="1"/>
  <c r="Y14" i="1"/>
  <c r="V14" i="1"/>
  <c r="O14" i="1"/>
  <c r="P14" i="1" s="1"/>
  <c r="Q14" i="1" s="1"/>
  <c r="L14" i="1"/>
  <c r="Y13" i="1"/>
  <c r="V13" i="1"/>
  <c r="Y12" i="1"/>
  <c r="V12" i="1"/>
  <c r="Y11" i="1"/>
  <c r="V11" i="1"/>
  <c r="O11" i="1"/>
  <c r="P11" i="1" s="1"/>
  <c r="L11" i="1"/>
  <c r="M11" i="1" s="1"/>
  <c r="O15" i="1"/>
  <c r="O12" i="1"/>
  <c r="O13" i="1"/>
  <c r="AG13" i="1" l="1"/>
  <c r="R14" i="1"/>
  <c r="AG16" i="1"/>
  <c r="AF16" i="1" s="1"/>
  <c r="AC16" i="1"/>
  <c r="AE16" i="1" s="1"/>
  <c r="Q11" i="1"/>
  <c r="AG11" i="1" s="1"/>
  <c r="R11" i="1"/>
  <c r="AC11" i="1"/>
  <c r="AG14" i="1"/>
  <c r="R16" i="1"/>
  <c r="M14" i="1"/>
  <c r="AC14" i="1" s="1"/>
  <c r="AF14" i="1" l="1"/>
  <c r="AG15" i="1"/>
  <c r="AF15" i="1" s="1"/>
  <c r="AD16" i="1"/>
  <c r="AH16" i="1" s="1"/>
  <c r="AE11" i="1"/>
  <c r="AC12" i="1" s="1"/>
  <c r="AD11" i="1"/>
  <c r="AE14" i="1"/>
  <c r="AC15" i="1" s="1"/>
  <c r="AD14" i="1"/>
  <c r="AG12" i="1"/>
  <c r="AF12" i="1" s="1"/>
  <c r="AF11" i="1"/>
  <c r="AH14" i="1" l="1"/>
  <c r="AH11" i="1"/>
  <c r="AD15" i="1"/>
  <c r="AH15" i="1" s="1"/>
  <c r="AE15" i="1"/>
  <c r="AF13" i="1"/>
  <c r="AE12" i="1"/>
  <c r="AC13" i="1" s="1"/>
  <c r="AD12" i="1"/>
  <c r="AH12" i="1" s="1"/>
  <c r="AE13" i="1" l="1"/>
  <c r="AD13" i="1"/>
  <c r="AH13" i="1" s="1"/>
  <c r="L21" i="1" l="1"/>
  <c r="F221" i="13" l="1"/>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<sst xmlns="http://schemas.openxmlformats.org/spreadsheetml/2006/main" count="484" uniqueCount="303">
  <si>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</si>
  <si>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</si>
  <si>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</si>
  <si>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</si>
  <si>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</si>
  <si>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</si>
  <si>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</si>
  <si>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</si>
  <si>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</si>
  <si>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</si>
  <si>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</si>
  <si>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</si>
  <si>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</si>
  <si>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</si>
  <si>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</si>
  <si>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</si>
  <si>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</si>
  <si>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</si>
  <si>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</si>
  <si>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</si>
  <si>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</si>
  <si>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</si>
  <si>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</si>
  <si>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</si>
  <si>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</si>
  <si>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</si>
  <si>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</si>
  <si>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</si>
  <si>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</si>
  <si>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</si>
  <si>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</si>
  <si>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</si>
  <si>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</si>
  <si>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</si>
  <si>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</si>
  <si>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</si>
  <si>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</si>
  <si>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</si>
  <si>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</si>
  <si>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</si>
  <si>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</si>
  <si>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</si>
  <si>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</si>
  <si>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</si>
  <si>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</si>
  <si>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</si>
  <si>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</si>
  <si>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</si>
  <si>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</si>
  <si>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</si>
  <si>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</si>
  <si>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</si>
  <si>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</si>
  <si>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</si>
  <si>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</si>
  <si>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</si>
  <si>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</si>
  <si>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</si>
  <si>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</si>
  <si>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</si>
  <si>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</si>
  <si>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</si>
  <si>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</si>
  <si>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</si>
  <si>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</si>
  <si>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</si>
  <si>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</si>
  <si>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</si>
  <si>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</si>
  <si>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</si>
  <si>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</si>
  <si>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</si>
  <si>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</si>
  <si>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</si>
  <si>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</si>
  <si>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</si>
  <si>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</si>
  <si>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</si>
  <si>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</si>
  <si>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</si>
  <si>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</si>
  <si>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</si>
  <si>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</si>
  <si>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</si>
  <si>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</si>
  <si>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</si>
  <si>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</si>
  <si>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</si>
  <si>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</si>
  <si>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</si>
  <si>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</si>
  <si>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</si>
  <si>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</si>
  <si>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</si>
  <si>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</si>
  <si>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</si>
  <si>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</si>
  <si>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</si>
  <si>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</si>
  <si>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</si>
  <si>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</si>
  <si>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</si>
  <si>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</si>
  <si>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</si>
  <si>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</si>
  <si>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</si>
  <si>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</si>
  <si>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</si>
  <si>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</si>
  <si>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</si>
  <si>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</si>
  <si>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</si>
  <si>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</si>
  <si>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</si>
  <si>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</si>
  <si>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</si>
  <si>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</si>
  <si>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</si>
  <si>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</si>
  <si>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</si>
  <si>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</si>
  <si>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</si>
  <si>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</si>
  <si>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</si>
  <si>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</si>
  <si>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</si>
  <si>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</si>
  <si>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</si>
  <si>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</si>
  <si>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</si>
  <si>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</si>
  <si>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</si>
  <si>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</si>
  <si>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</si>
  <si>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</si>
  <si>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</si>
  <si>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</si>
  <si>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</si>
  <si>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</si>
  <si>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</si>
  <si>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</si>
  <si>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</si>
  <si>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</si>
  <si>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</si>
  <si>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</si>
  <si>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</si>
  <si>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</si>
  <si>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</si>
  <si>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</si>
  <si>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</si>
  <si>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</si>
  <si>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</si>
  <si>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</si>
  <si>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</si>
  <si>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</si>
  <si>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</si>
  <si>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</si>
  <si>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</si>
  <si>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</si>
  <si>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</si>
  <si>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</si>
  <si>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</si>
  <si>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</si>
  <si>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</si>
  <si>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</si>
  <si>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</si>
  <si>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</si>
  <si>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</si>
  <si>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</si>
  <si>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</si>
  <si>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</si>
  <si>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</si>
  <si>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</si>
  <si>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</si>
  <si>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</si>
  <si>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</si>
  <si>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</si>
  <si>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</si>
  <si>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</si>
  <si>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</si>
  <si>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</si>
  <si>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</si>
  <si>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</si>
  <si>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</si>
  <si>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</si>
  <si>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</si>
  <si>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</si>
  <si>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</si>
  <si>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</si>
  <si>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</si>
  <si>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</si>
  <si>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</si>
  <si>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</si>
  <si>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</si>
  <si>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</si>
  <si>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</si>
  <si>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</si>
  <si>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</si>
  <si>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</si>
  <si>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</si>
  <si>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</si>
  <si>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</si>
  <si>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</si>
  <si>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</si>
  <si>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</si>
  <si>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</si>
  <si>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</si>
  <si>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</si>
  <si>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</si>
  <si>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</si>
  <si>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</si>
  <si>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</si>
  <si>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</si>
  <si>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</si>
  <si>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</si>
  <si>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</si>
  <si>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</si>
  <si>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</si>
  <si>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</si>
  <si>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</si>
  <si>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</si>
  <si>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</si>
  <si>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</si>
  <si>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</si>
  <si>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</si>
  <si>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</si>
  <si>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</si>
  <si>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</si>
  <si>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</si>
  <si>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</si>
  <si>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</si>
  <si>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</si>
  <si>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</si>
  <si>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</si>
  <si>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</si>
  <si>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</si>
  <si>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</si>
  <si>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</si>
  <si>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</si>
  <si>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</si>
  <si>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</si>
  <si>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</si>
  <si>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</si>
  <si>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</si>
  <si>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</si>
  <si>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</si>
  <si>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</si>
  <si>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</si>
  <si>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</si>
  <si>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</si>
  <si>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SEGURIDAD Y SALUD EN EL TRABAJO</t>
  </si>
  <si>
    <t>Planear, implementar, evaluar y mejorar continuamente el Sistema de Gestión de Seguridad y Salud en el Trabajo (SGSST), garantizando con esto, la prevención de accidentes y enfermedades laborales de la Escuela Tecnológica Instituto Técnico Central (ETITC) mediante la identificación de los peligros y valoración de los riesgos ocupacionales</t>
  </si>
  <si>
    <t>Aplica para todas las actividades ejecutadas en la Escuela Tecnológica Instituto Técnico Central (ETITC) y en su nombre, cubriendo a todos los trabajadores independiente de su modalidad de contratación.</t>
  </si>
  <si>
    <t xml:space="preserve">Incumplimiento a la norma: Resolución 2346 de 2007 capitulo II 
Decreto 1072/2015 Artículo 2.2.4.6.24, numeral 05 PARAGRAFO 3 </t>
  </si>
  <si>
    <t>Incumplimiento al desarrollo de actividades pactadas en el plan de gestión para el año y a los Decreto 1072/2015, Artículo 2.2.4.6.8. numeral 4, Artículo 2.2.4.6.17 numeral 2,5</t>
  </si>
  <si>
    <t>Falta de Recurso Humano Suficiente para suplir las necesidades y labores a desarrollar para el pleno cumplimiento y desarrollo el sistema</t>
  </si>
  <si>
    <t xml:space="preserve">Gestionar la creación de una Brigada: capacitada y dotada, la brigada de prevención, preparación y respuesta ante emergencias.
 </t>
  </si>
  <si>
    <t xml:space="preserve">Conformación brigada emergencias </t>
  </si>
  <si>
    <t>Profesional de Gestión del Talento Humano - Líder del proceso de SST</t>
  </si>
  <si>
    <t>Auditoria y seguimiento al plan de capacitación de las Brigadas</t>
  </si>
  <si>
    <t xml:space="preserve">Plan de capacitación y entrenamiento brigadas </t>
  </si>
  <si>
    <t>y Soporte del plan de compras y entregas de implementos y EPP para Brigadistas</t>
  </si>
  <si>
    <t xml:space="preserve">Efectuar contratación con Institucion prestadora de servicios de salud especiaistas en seguridad y salud en el trabajo </t>
  </si>
  <si>
    <t xml:space="preserve">Conceptos medicos de acuerdo al tipo de examen medico a practicar </t>
  </si>
  <si>
    <t xml:space="preserve">Practicar examenes medicos </t>
  </si>
  <si>
    <t xml:space="preserve">Gestionar la asignación de recurso humano como apoyo para la gestion de seguridad y salud en el trabajo </t>
  </si>
  <si>
    <t>Poner en conocimiento del profesional de Gestión la insuficiencia del recurso financiero a fin de gestionar el recurso</t>
  </si>
  <si>
    <t>Posibilidad de afectación económica y reputacional por ingreso de personal con morbilidades de origen laboral y/o presencia de algun tipo de patología sin detectar de manera preventiva en los colaboradores de la escuela</t>
  </si>
  <si>
    <t>actualizacion del docuento plan de emergencias</t>
  </si>
  <si>
    <t>1. Evaluación médica preocupacional o de preingreso.
2. Evaluaciones médicas ocupacionales periódicas (programadas o por cambios de ocupación).
3. Evaluación médica posocupacional o de egreso.
4. Profesiograma
5. Diagnostico condiciones de salud</t>
  </si>
  <si>
    <t>Incumplimiento gestion de prevención, preparación y respuesta ante emergencias, brigada de emergencias, plan de emergencias</t>
  </si>
  <si>
    <t>Posibilidad de afectación económica y reputacional por desconocimiento en actuación en caso de emergencias 
Multas</t>
  </si>
  <si>
    <t xml:space="preserve">Entrega elementos de Dotacion personal brigadistas </t>
  </si>
  <si>
    <t>Incumplimiento a la norma: Decreto 1072/2015 Artículo 2.2.4.6.25, numeral 11
Decreto 2157 de 2017.
Resolución 0256 de 2014</t>
  </si>
  <si>
    <t xml:space="preserve"> Acta conformación brigada
Mapas de evacuación actualizados</t>
  </si>
  <si>
    <t xml:space="preserve">Contrato prestación de servicios médicos especialistas en salud ocupacional </t>
  </si>
  <si>
    <t xml:space="preserve">Recurso humano de apoyo al área de SST </t>
  </si>
  <si>
    <t xml:space="preserve">Omisio proceso contractual prestación de servicio médico por parte de institución de salud especialista en seguridad y salud en el trabajo  </t>
  </si>
  <si>
    <r>
      <rPr>
        <b/>
        <sz val="14"/>
        <rFont val="Arial Narrow"/>
        <family val="2"/>
      </rPr>
      <t>LIDER DEL PROCESO:</t>
    </r>
    <r>
      <rPr>
        <sz val="14"/>
        <rFont val="Arial Narrow"/>
        <family val="2"/>
      </rPr>
      <t xml:space="preserve"> Andrés Orduz Nivia</t>
    </r>
  </si>
  <si>
    <t xml:space="preserve">Se realiza acta de conformacion de Brigada y nuevamente se publica video de </t>
  </si>
  <si>
    <t xml:space="preserve">Junto con el Plan de Capacitacion se progama pista de entrenamiento </t>
  </si>
  <si>
    <t>Se radico proceso de contratacion de EPP SIE-004-2023 por $105.855.602</t>
  </si>
  <si>
    <t>Se realizo radicacion en contratos  de los examenes medicos 5/05/2023</t>
  </si>
  <si>
    <t>Se tiene programado para Agosto realizar las examenes medicos</t>
  </si>
  <si>
    <t>Se tiene pensado realizar apoyo con practicantes primer empleo para fortalecer el grupo y contar en la sede tintal</t>
  </si>
  <si>
    <t>Solicitar recursos para dotación brigadistas</t>
  </si>
  <si>
    <t xml:space="preserve">Ejecutar contrato de prestación de servicios profesionales en examenes medicos ocupacionales </t>
  </si>
  <si>
    <t xml:space="preserve">Se cuenta con la brigada de emergencias, esta se evidencia mediante el acta de conformación, en esta se evidencia la partición de 20 personas, pertenecientes a la institución. Las cuales tienen responsabilidades en cada una de los 5 sectores de emergencia.  
Se cuenta con 8 mapas de evacuación actualizados (sector 1 y 2), de 25 mapas que se deben actualizar para la vigencia 2023.
Sobre la sede Tintal no se cuenta con mapas de evacuación actualizados, se proyectan realizar 8. 
</t>
  </si>
  <si>
    <t xml:space="preserve">El plan de emergencia se encuentra con fecha de actualización de octubre de 2022, teniendo en cuenta que este se debe actualizar anualmente, se debe realizar la respectiva actualización para el 2023 durante el 4° trimestre. 
18.08.2023. Para la presente vigencia y en el marco del plan de capacitaciones institucional se desarrolló la capacitación de:
*Primeros auxilios
*Manejo de incendios
*Evacuación y rescate.
</t>
  </si>
  <si>
    <t xml:space="preserve">Durante el mes de agosto se han entregado, chalecos, gafas, pitos, megafonos, botiquin de primeros auxilios.
Se cuenta con el acta de entrega de los elementos de EPP para los participantes de la brigada de emergencias. </t>
  </si>
  <si>
    <r>
      <t xml:space="preserve">El control no se ha efectuado por falta de asignación de recursos financieros, sin embargo, el 15 de agosto se designaron nuevos recursos por </t>
    </r>
    <r>
      <rPr>
        <u/>
        <sz val="11"/>
        <color theme="1"/>
        <rFont val="Arial Narrow"/>
        <family val="2"/>
      </rPr>
      <t>$</t>
    </r>
    <r>
      <rPr>
        <sz val="11"/>
        <color theme="1"/>
        <rFont val="Arial Narrow"/>
        <family val="2"/>
      </rPr>
      <t xml:space="preserve">33.127.769 y se estructuran los estudios previos para llevar a cabo la actividad. </t>
    </r>
  </si>
  <si>
    <t>Posibilidad de afectación económica y reputacional por menor cobertura en la gestion de seguridad y salud en el trabajo</t>
  </si>
  <si>
    <t>Se cuenta con apoyo de un tecnológo por parte de la ARL POSITIVA. Gestión realizada por el profesional de SST.</t>
  </si>
  <si>
    <t>Evidencias</t>
  </si>
  <si>
    <t>https://itceduco-my.sharepoint.com/:f:/g/personal/plandeaccion_itc_edu_co/Eq0HMdadRDNAsYf6fkGdug0BCrhO9X1NFdEd89e3HpeIlQ?e=jXthQ4</t>
  </si>
  <si>
    <t>n/a</t>
  </si>
  <si>
    <t>Se observó que para el dia de 18 de agosto de 2023 en la participación del simulacro nacional, se realizó la entrega de  (linterna, pito y gafas de seguridad) a 28 usuarios, actividad que permite la mitigación del riesgo identificado.</t>
  </si>
  <si>
    <t>A través de los documentos publicados en el micrositio de SST, se observó que el documento Plan de Emergencias no fue actualizado a la vigencia 2023,debido a que la información contenida en dicho plan, se encuentra con fecha agosto de 2022 en su versión 3, control que debe ser fortalecido en el cual se incluyan todas las sedes de la Entidad.</t>
  </si>
  <si>
    <t>A la fecha se seguimiento no se ha identificado la contratación de personal adicional como apoyo al proceso de Seguridad y Salud en el Trabajo, por lo que se requiere el fortalecimiento del equipo para que se cubran el total de las necesidades de la Entidad en este tema para la parte administrativa y la academia y se brinde cobertura a todas sus sedes, por lo que es necesario fortalecer el control para evitar la materialización de algún riesgo relacionado.</t>
  </si>
  <si>
    <t>Fecha de actualización: 17/11/2023</t>
  </si>
  <si>
    <t xml:space="preserve">Se observa mediante seguimiento realizado que,  el acta de conformaciòn de la brigada no cuenta con todas las  firmas del personal participante, de otra parte, se cuenta con el plan de emergencias publicado en el portal web Institucional, en el micrositio que corresponde al Sistema de Gestión de Seguridad y Salud en el Trabajo, el cual cuenta con videos de socialización de recorridos e identificacion de locaciones de la Entidad de acuerdo a su distribución por bloques, no obstante, únicamente se observa en el micrositio la publicación del mapa de distribución de la planta física para su respectiva evacuación de la Sede Central, por lo que se requiere fortalecer esta misma acción con la demás sedes de la Entidad.
Adicionalmente, se cuenta con la capacitaciòn a 20 personas en el municipio de Cota con el acompañamiento de los bomberos de Bogotá,  el dia 4 de septiembre, de la cual el profesional de SST cuenta con el listado de asistencia, acciones que contribuyen a mitigar el riesgo identificado.
</t>
  </si>
  <si>
    <t>En cuanto a la contratación de los servicios médicos que permiten identificar las condiciones de salud de los funcionarios que ingresan, se retiran, exámenes periodidcos y post incapacidad, se observa la suscripción del contrato No. 292 del 13 de octubre con ejecución hasta el 31 de diciembre, del cual se observa que a la fecha se, no se ha realizado el examen de ingreso de la funcionaria nombrada con Res. 474 de 2023 al área de registro y control, controles que deben ser fortalecidos mediante la comunicacion interna desde seleccion y vinculación con SST.</t>
  </si>
  <si>
    <t>Se observa que a apartir de la post incapacidad de un profesor, fue reportado el concepto del 3 de noviembre por la empresa APRESHI GROUP, en el cual entregan el certificado de aptitud laboral indicando si es apto o no para el regreso a sus activides laborales, no obstante, no se observaron los conceptos emitidos por la empresa en cuanto al personal nuevo que ingresa, por lo que se recomienda fortalcer el control establecido.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</si>
</sst>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8"/>
      <color theme="1"/>
      <name val="Arial"/>
      <family val="2"/>
    </font>
    <font>
      <u/>
      <sz val="11"/>
      <color theme="1"/>
      <name val="Arial Narrow"/>
      <family val="2"/>
    </font>
    <font>
      <u/>
      <sz val="11"/>
      <color theme="1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68" fillId="0" borderId="0" applyNumberFormat="0" applyFill="0" applyBorder="0" applyAlignment="0" applyProtection="0"/>
  </cellStyleXfs>
  <cellXfs count="390">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2" fillId="0" borderId="0" xfId="0" applyFont="1" applyAlignment="1">
      <alignment horizontal="center"/>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67" xfId="0" applyFont="1" applyBorder="1" applyAlignment="1">
      <alignment horizontal="center" vertical="center" wrapText="1"/>
    </xf>
    <xf numFmtId="0" fontId="64" fillId="0" borderId="67"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1" fillId="0" borderId="21" xfId="0" applyFont="1" applyBorder="1" applyAlignment="1">
      <alignment horizontal="center" vertical="center" wrapText="1"/>
    </xf>
    <xf numFmtId="14" fontId="1" fillId="0" borderId="21" xfId="0" applyNumberFormat="1" applyFont="1" applyBorder="1" applyAlignment="1" applyProtection="1">
      <alignment horizontal="center" vertical="center" wrapText="1"/>
      <protection locked="0"/>
    </xf>
    <xf numFmtId="0" fontId="6" fillId="0" borderId="21" xfId="0" applyFont="1" applyBorder="1" applyAlignment="1" applyProtection="1">
      <alignment horizontal="justify" vertical="center"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1" fillId="3" borderId="0" xfId="0" applyFont="1" applyFill="1" applyAlignment="1">
      <alignment vertical="center"/>
    </xf>
    <xf numFmtId="0" fontId="1" fillId="0" borderId="0" xfId="0" applyFont="1" applyAlignment="1">
      <alignment vertical="center"/>
    </xf>
    <xf numFmtId="0" fontId="1" fillId="0" borderId="21" xfId="0" applyFont="1" applyBorder="1" applyAlignment="1" applyProtection="1">
      <alignment horizontal="justify"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0" fontId="4" fillId="0" borderId="21" xfId="0" applyFont="1" applyBorder="1" applyAlignment="1" applyProtection="1">
      <alignment horizontal="center" vertical="center"/>
      <protection hidden="1"/>
    </xf>
    <xf numFmtId="0" fontId="2" fillId="0" borderId="21" xfId="0" applyFont="1" applyBorder="1" applyAlignment="1" applyProtection="1">
      <alignment horizontal="center" vertical="center" wrapText="1"/>
      <protection locked="0"/>
    </xf>
    <xf numFmtId="9" fontId="1" fillId="0" borderId="21" xfId="0" applyNumberFormat="1" applyFont="1" applyBorder="1" applyAlignment="1" applyProtection="1">
      <alignment horizontal="center" vertical="center" wrapText="1"/>
      <protection locked="0"/>
    </xf>
    <xf numFmtId="0" fontId="1" fillId="0" borderId="0" xfId="0" applyFont="1" applyAlignment="1">
      <alignment wrapText="1"/>
    </xf>
    <xf numFmtId="0" fontId="1" fillId="3" borderId="0" xfId="0" applyFont="1" applyFill="1" applyAlignment="1">
      <alignment wrapText="1"/>
    </xf>
    <xf numFmtId="0" fontId="1" fillId="3" borderId="21" xfId="0" applyFont="1" applyFill="1" applyBorder="1" applyAlignment="1">
      <alignment vertical="center" wrapText="1"/>
    </xf>
    <xf numFmtId="0" fontId="1" fillId="3" borderId="21" xfId="0" applyFont="1" applyFill="1" applyBorder="1" applyAlignment="1">
      <alignment vertical="center"/>
    </xf>
    <xf numFmtId="0" fontId="6"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68" fillId="3" borderId="21" xfId="5" applyFill="1" applyBorder="1" applyAlignment="1">
      <alignment vertical="center" wrapText="1"/>
    </xf>
    <xf numFmtId="14" fontId="1" fillId="3" borderId="21" xfId="0" applyNumberFormat="1" applyFont="1" applyFill="1" applyBorder="1" applyAlignment="1">
      <alignment vertical="center"/>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68"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1" fillId="0" borderId="68" xfId="0" applyFont="1" applyBorder="1" applyAlignment="1" applyProtection="1">
      <alignment horizontal="center" vertical="center" wrapText="1"/>
      <protection locked="0"/>
    </xf>
    <xf numFmtId="0" fontId="1" fillId="0" borderId="6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22" xfId="0" applyFont="1" applyBorder="1" applyAlignment="1">
      <alignment horizontal="center" vertical="center"/>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22" xfId="0" applyFont="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locked="0"/>
    </xf>
    <xf numFmtId="9" fontId="1" fillId="0" borderId="21" xfId="0" applyNumberFormat="1" applyFont="1" applyBorder="1" applyAlignment="1" applyProtection="1">
      <alignment horizontal="center" vertical="center" wrapText="1"/>
      <protection locked="0"/>
    </xf>
    <xf numFmtId="0" fontId="57" fillId="0" borderId="21" xfId="0" applyFont="1" applyBorder="1" applyAlignment="1" applyProtection="1">
      <alignment horizontal="center" vertical="center"/>
      <protection locked="0"/>
    </xf>
    <xf numFmtId="0" fontId="59" fillId="7" borderId="65" xfId="0" applyFont="1" applyFill="1" applyBorder="1" applyAlignment="1">
      <alignment horizontal="center" vertical="center"/>
    </xf>
    <xf numFmtId="0" fontId="59" fillId="7" borderId="66" xfId="0" applyFont="1" applyFill="1" applyBorder="1" applyAlignment="1">
      <alignment horizontal="center" vertical="center"/>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58" fillId="0" borderId="21" xfId="0" applyFont="1" applyBorder="1" applyAlignment="1" applyProtection="1">
      <alignment horizontal="center" wrapText="1"/>
      <protection locked="0"/>
    </xf>
    <xf numFmtId="0" fontId="61" fillId="0" borderId="65" xfId="0" applyFont="1" applyBorder="1" applyAlignment="1">
      <alignment horizontal="left" vertical="center"/>
    </xf>
    <xf numFmtId="0" fontId="61" fillId="0" borderId="64" xfId="0" applyFont="1" applyBorder="1" applyAlignment="1">
      <alignment horizontal="left" vertical="center"/>
    </xf>
    <xf numFmtId="0" fontId="61" fillId="0" borderId="40" xfId="0" applyFont="1" applyBorder="1" applyAlignment="1">
      <alignment horizontal="left" vertical="center"/>
    </xf>
    <xf numFmtId="0" fontId="61" fillId="0" borderId="65" xfId="0" applyFont="1" applyBorder="1" applyAlignment="1">
      <alignment horizontal="left" vertical="center" wrapText="1"/>
    </xf>
    <xf numFmtId="0" fontId="66" fillId="0" borderId="21" xfId="0" applyFont="1" applyBorder="1" applyAlignment="1" applyProtection="1">
      <alignment horizontal="center" vertical="center" wrapText="1"/>
      <protection locked="0"/>
    </xf>
    <xf numFmtId="0" fontId="60" fillId="7" borderId="68" xfId="0" applyFont="1" applyFill="1" applyBorder="1" applyAlignment="1">
      <alignment horizontal="center" vertical="top" wrapText="1"/>
    </xf>
    <xf numFmtId="0" fontId="60" fillId="7" borderId="69" xfId="0" applyFont="1" applyFill="1" applyBorder="1" applyAlignment="1">
      <alignment horizontal="center" vertical="top" wrapText="1"/>
    </xf>
    <xf numFmtId="0" fontId="64" fillId="0" borderId="67" xfId="0" applyFont="1" applyBorder="1" applyAlignment="1">
      <alignment horizontal="center" vertical="center" wrapText="1"/>
    </xf>
    <xf numFmtId="0" fontId="65" fillId="0" borderId="67" xfId="0" applyFont="1" applyBorder="1" applyAlignment="1">
      <alignment horizontal="center" vertical="center" wrapText="1"/>
    </xf>
    <xf numFmtId="0" fontId="49" fillId="0" borderId="65" xfId="0" applyFont="1" applyBorder="1" applyAlignment="1">
      <alignment horizontal="left" vertical="center" wrapText="1"/>
    </xf>
    <xf numFmtId="0" fontId="49" fillId="0" borderId="64" xfId="0" applyFont="1" applyBorder="1" applyAlignment="1">
      <alignment horizontal="left" vertical="center" wrapText="1"/>
    </xf>
    <xf numFmtId="0" fontId="49" fillId="0" borderId="66" xfId="0" applyFont="1" applyBorder="1" applyAlignment="1">
      <alignment horizontal="left" vertical="center" wrapText="1"/>
    </xf>
    <xf numFmtId="0" fontId="1" fillId="0" borderId="2" xfId="0" applyFont="1" applyBorder="1" applyAlignment="1">
      <alignment horizontal="left" vertical="center" wrapText="1"/>
    </xf>
    <xf numFmtId="0" fontId="1" fillId="0" borderId="63" xfId="0" applyFont="1" applyBorder="1" applyAlignment="1">
      <alignment horizontal="left" vertical="center" wrapText="1"/>
    </xf>
    <xf numFmtId="0" fontId="63" fillId="0" borderId="21" xfId="0" applyFont="1" applyBorder="1" applyAlignment="1">
      <alignment horizontal="left" vertical="center" wrapText="1"/>
    </xf>
    <xf numFmtId="0" fontId="60" fillId="7" borderId="21" xfId="0" applyFont="1" applyFill="1" applyBorder="1" applyAlignment="1">
      <alignment horizontal="center" vertical="center" textRotation="9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52">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743890</xdr:colOff>
      <xdr:row>0</xdr:row>
      <xdr:rowOff>55419</xdr:rowOff>
    </xdr:from>
    <xdr:to>
      <xdr:col>2</xdr:col>
      <xdr:colOff>586153</xdr:colOff>
      <xdr:row>2</xdr:row>
      <xdr:rowOff>61059</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1390" y="55419"/>
          <a:ext cx="648225" cy="42083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SST%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1" dataDxfId="50">
  <autoFilter ref="B209:C219" xr:uid="{00000000-0009-0000-0100-000001000000}"/>
  <tableColumns count="2">
    <tableColumn id="1" xr3:uid="{00000000-0010-0000-0000-000001000000}" name="Criterios" dataDxfId="49"/>
    <tableColumn id="2" xr3:uid="{00000000-0010-0000-0000-000002000000}" name="Subcriterios" dataDxfId="48"/>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f:/g/personal/plandeaccion_itc_edu_co/Eq0HMdadRDNAsYf6fkGdug0BCrhO9X1NFdEd89e3HpeIlQ?e=jXthQ4" TargetMode="External"/><Relationship Id="rId2" Type="http://schemas.openxmlformats.org/officeDocument/2006/relationships/hyperlink" Target="../../../../../../:f:/g/personal/plandeaccion_itc_edu_co/Eq0HMdadRDNAsYf6fkGdug0BCrhO9X1NFdEd89e3HpeIlQ?e=jXthQ4" TargetMode="External"/><Relationship Id="rId1" Type="http://schemas.openxmlformats.org/officeDocument/2006/relationships/hyperlink" Target="../../../../../../:f:/g/personal/plandeaccion_itc_edu_co/Eq0HMdadRDNAsYf6fkGdug0BCrhO9X1NFdEd89e3HpeIlQ?e=jXthQ4"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f:/g/personal/plandeaccion_itc_edu_co/Eq0HMdadRDNAsYf6fkGdug0BCrhO9X1NFdEd89e3HpeIlQ?e=jXthQ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77" t="s">
        <v>163</v>
      </c>
      <c r="C2" s="178"/>
      <c r="D2" s="178"/>
      <c r="E2" s="178"/>
      <c r="F2" s="178"/>
      <c r="G2" s="178"/>
      <c r="H2" s="179"/>
    </row>
    <row r="3" spans="2:8" x14ac:dyDescent="0.25">
      <c r="B3" s="76"/>
      <c r="C3" s="77"/>
      <c r="D3" s="77"/>
      <c r="E3" s="77"/>
      <c r="F3" s="77"/>
      <c r="G3" s="77"/>
      <c r="H3" s="78"/>
    </row>
    <row r="4" spans="2:8" ht="63" customHeight="1" x14ac:dyDescent="0.25">
      <c r="B4" s="180" t="s">
        <v>206</v>
      </c>
      <c r="C4" s="181"/>
      <c r="D4" s="181"/>
      <c r="E4" s="181"/>
      <c r="F4" s="181"/>
      <c r="G4" s="181"/>
      <c r="H4" s="182"/>
    </row>
    <row r="5" spans="2:8" ht="63" customHeight="1" x14ac:dyDescent="0.25">
      <c r="B5" s="183"/>
      <c r="C5" s="184"/>
      <c r="D5" s="184"/>
      <c r="E5" s="184"/>
      <c r="F5" s="184"/>
      <c r="G5" s="184"/>
      <c r="H5" s="185"/>
    </row>
    <row r="6" spans="2:8" ht="16.5" x14ac:dyDescent="0.25">
      <c r="B6" s="186" t="s">
        <v>161</v>
      </c>
      <c r="C6" s="187"/>
      <c r="D6" s="187"/>
      <c r="E6" s="187"/>
      <c r="F6" s="187"/>
      <c r="G6" s="187"/>
      <c r="H6" s="188"/>
    </row>
    <row r="7" spans="2:8" ht="95.25" customHeight="1" x14ac:dyDescent="0.25">
      <c r="B7" s="196" t="s">
        <v>166</v>
      </c>
      <c r="C7" s="197"/>
      <c r="D7" s="197"/>
      <c r="E7" s="197"/>
      <c r="F7" s="197"/>
      <c r="G7" s="197"/>
      <c r="H7" s="198"/>
    </row>
    <row r="8" spans="2:8" ht="16.5" x14ac:dyDescent="0.25">
      <c r="B8" s="112"/>
      <c r="C8" s="113"/>
      <c r="D8" s="113"/>
      <c r="E8" s="113"/>
      <c r="F8" s="113"/>
      <c r="G8" s="113"/>
      <c r="H8" s="114"/>
    </row>
    <row r="9" spans="2:8" ht="16.5" customHeight="1" x14ac:dyDescent="0.25">
      <c r="B9" s="189" t="s">
        <v>199</v>
      </c>
      <c r="C9" s="190"/>
      <c r="D9" s="190"/>
      <c r="E9" s="190"/>
      <c r="F9" s="190"/>
      <c r="G9" s="190"/>
      <c r="H9" s="191"/>
    </row>
    <row r="10" spans="2:8" ht="44.25" customHeight="1" x14ac:dyDescent="0.25">
      <c r="B10" s="189"/>
      <c r="C10" s="190"/>
      <c r="D10" s="190"/>
      <c r="E10" s="190"/>
      <c r="F10" s="190"/>
      <c r="G10" s="190"/>
      <c r="H10" s="191"/>
    </row>
    <row r="11" spans="2:8" ht="15.75" thickBot="1" x14ac:dyDescent="0.3">
      <c r="B11" s="101"/>
      <c r="C11" s="104"/>
      <c r="D11" s="109"/>
      <c r="E11" s="110"/>
      <c r="F11" s="110"/>
      <c r="G11" s="111"/>
      <c r="H11" s="105"/>
    </row>
    <row r="12" spans="2:8" ht="15.75" thickTop="1" x14ac:dyDescent="0.25">
      <c r="B12" s="101"/>
      <c r="C12" s="192" t="s">
        <v>162</v>
      </c>
      <c r="D12" s="193"/>
      <c r="E12" s="194" t="s">
        <v>200</v>
      </c>
      <c r="F12" s="195"/>
      <c r="G12" s="104"/>
      <c r="H12" s="105"/>
    </row>
    <row r="13" spans="2:8" ht="35.25" customHeight="1" x14ac:dyDescent="0.25">
      <c r="B13" s="101"/>
      <c r="C13" s="164" t="s">
        <v>193</v>
      </c>
      <c r="D13" s="165"/>
      <c r="E13" s="166" t="s">
        <v>198</v>
      </c>
      <c r="F13" s="167"/>
      <c r="G13" s="104"/>
      <c r="H13" s="105"/>
    </row>
    <row r="14" spans="2:8" ht="17.25" customHeight="1" x14ac:dyDescent="0.25">
      <c r="B14" s="101"/>
      <c r="C14" s="164" t="s">
        <v>194</v>
      </c>
      <c r="D14" s="165"/>
      <c r="E14" s="166" t="s">
        <v>196</v>
      </c>
      <c r="F14" s="167"/>
      <c r="G14" s="104"/>
      <c r="H14" s="105"/>
    </row>
    <row r="15" spans="2:8" ht="19.5" customHeight="1" x14ac:dyDescent="0.25">
      <c r="B15" s="101"/>
      <c r="C15" s="164" t="s">
        <v>195</v>
      </c>
      <c r="D15" s="165"/>
      <c r="E15" s="166" t="s">
        <v>197</v>
      </c>
      <c r="F15" s="167"/>
      <c r="G15" s="104"/>
      <c r="H15" s="105"/>
    </row>
    <row r="16" spans="2:8" ht="69.75" customHeight="1" x14ac:dyDescent="0.25">
      <c r="B16" s="101"/>
      <c r="C16" s="164" t="s">
        <v>164</v>
      </c>
      <c r="D16" s="165"/>
      <c r="E16" s="166" t="s">
        <v>165</v>
      </c>
      <c r="F16" s="167"/>
      <c r="G16" s="104"/>
      <c r="H16" s="105"/>
    </row>
    <row r="17" spans="2:8" ht="34.5" customHeight="1" x14ac:dyDescent="0.25">
      <c r="B17" s="101"/>
      <c r="C17" s="168" t="s">
        <v>2</v>
      </c>
      <c r="D17" s="169"/>
      <c r="E17" s="160" t="s">
        <v>207</v>
      </c>
      <c r="F17" s="161"/>
      <c r="G17" s="104"/>
      <c r="H17" s="105"/>
    </row>
    <row r="18" spans="2:8" ht="27.75" customHeight="1" x14ac:dyDescent="0.25">
      <c r="B18" s="101"/>
      <c r="C18" s="168" t="s">
        <v>3</v>
      </c>
      <c r="D18" s="169"/>
      <c r="E18" s="160" t="s">
        <v>208</v>
      </c>
      <c r="F18" s="161"/>
      <c r="G18" s="104"/>
      <c r="H18" s="105"/>
    </row>
    <row r="19" spans="2:8" ht="28.5" customHeight="1" x14ac:dyDescent="0.25">
      <c r="B19" s="101"/>
      <c r="C19" s="168" t="s">
        <v>41</v>
      </c>
      <c r="D19" s="169"/>
      <c r="E19" s="160" t="s">
        <v>209</v>
      </c>
      <c r="F19" s="161"/>
      <c r="G19" s="104"/>
      <c r="H19" s="105"/>
    </row>
    <row r="20" spans="2:8" ht="72.75" customHeight="1" x14ac:dyDescent="0.25">
      <c r="B20" s="101"/>
      <c r="C20" s="168" t="s">
        <v>1</v>
      </c>
      <c r="D20" s="169"/>
      <c r="E20" s="160" t="s">
        <v>210</v>
      </c>
      <c r="F20" s="161"/>
      <c r="G20" s="104"/>
      <c r="H20" s="105"/>
    </row>
    <row r="21" spans="2:8" ht="64.5" customHeight="1" x14ac:dyDescent="0.25">
      <c r="B21" s="101"/>
      <c r="C21" s="168" t="s">
        <v>49</v>
      </c>
      <c r="D21" s="169"/>
      <c r="E21" s="160" t="s">
        <v>168</v>
      </c>
      <c r="F21" s="161"/>
      <c r="G21" s="104"/>
      <c r="H21" s="105"/>
    </row>
    <row r="22" spans="2:8" ht="71.25" customHeight="1" x14ac:dyDescent="0.25">
      <c r="B22" s="101"/>
      <c r="C22" s="168" t="s">
        <v>167</v>
      </c>
      <c r="D22" s="169"/>
      <c r="E22" s="160" t="s">
        <v>169</v>
      </c>
      <c r="F22" s="161"/>
      <c r="G22" s="104"/>
      <c r="H22" s="105"/>
    </row>
    <row r="23" spans="2:8" ht="55.5" customHeight="1" x14ac:dyDescent="0.25">
      <c r="B23" s="101"/>
      <c r="C23" s="162" t="s">
        <v>170</v>
      </c>
      <c r="D23" s="163"/>
      <c r="E23" s="160" t="s">
        <v>171</v>
      </c>
      <c r="F23" s="161"/>
      <c r="G23" s="104"/>
      <c r="H23" s="105"/>
    </row>
    <row r="24" spans="2:8" ht="42" customHeight="1" x14ac:dyDescent="0.25">
      <c r="B24" s="101"/>
      <c r="C24" s="162" t="s">
        <v>47</v>
      </c>
      <c r="D24" s="163"/>
      <c r="E24" s="160" t="s">
        <v>172</v>
      </c>
      <c r="F24" s="161"/>
      <c r="G24" s="104"/>
      <c r="H24" s="105"/>
    </row>
    <row r="25" spans="2:8" ht="59.25" customHeight="1" x14ac:dyDescent="0.25">
      <c r="B25" s="101"/>
      <c r="C25" s="162" t="s">
        <v>160</v>
      </c>
      <c r="D25" s="163"/>
      <c r="E25" s="160" t="s">
        <v>173</v>
      </c>
      <c r="F25" s="161"/>
      <c r="G25" s="104"/>
      <c r="H25" s="105"/>
    </row>
    <row r="26" spans="2:8" ht="23.25" customHeight="1" x14ac:dyDescent="0.25">
      <c r="B26" s="101"/>
      <c r="C26" s="162" t="s">
        <v>12</v>
      </c>
      <c r="D26" s="163"/>
      <c r="E26" s="160" t="s">
        <v>174</v>
      </c>
      <c r="F26" s="161"/>
      <c r="G26" s="104"/>
      <c r="H26" s="105"/>
    </row>
    <row r="27" spans="2:8" ht="30.75" customHeight="1" x14ac:dyDescent="0.25">
      <c r="B27" s="101"/>
      <c r="C27" s="162" t="s">
        <v>178</v>
      </c>
      <c r="D27" s="163"/>
      <c r="E27" s="160" t="s">
        <v>175</v>
      </c>
      <c r="F27" s="161"/>
      <c r="G27" s="104"/>
      <c r="H27" s="105"/>
    </row>
    <row r="28" spans="2:8" ht="35.25" customHeight="1" x14ac:dyDescent="0.25">
      <c r="B28" s="101"/>
      <c r="C28" s="162" t="s">
        <v>179</v>
      </c>
      <c r="D28" s="163"/>
      <c r="E28" s="160" t="s">
        <v>176</v>
      </c>
      <c r="F28" s="161"/>
      <c r="G28" s="104"/>
      <c r="H28" s="105"/>
    </row>
    <row r="29" spans="2:8" ht="33" customHeight="1" x14ac:dyDescent="0.25">
      <c r="B29" s="101"/>
      <c r="C29" s="162" t="s">
        <v>179</v>
      </c>
      <c r="D29" s="163"/>
      <c r="E29" s="160" t="s">
        <v>176</v>
      </c>
      <c r="F29" s="161"/>
      <c r="G29" s="104"/>
      <c r="H29" s="105"/>
    </row>
    <row r="30" spans="2:8" ht="30" customHeight="1" x14ac:dyDescent="0.25">
      <c r="B30" s="101"/>
      <c r="C30" s="162" t="s">
        <v>180</v>
      </c>
      <c r="D30" s="163"/>
      <c r="E30" s="160" t="s">
        <v>177</v>
      </c>
      <c r="F30" s="161"/>
      <c r="G30" s="104"/>
      <c r="H30" s="105"/>
    </row>
    <row r="31" spans="2:8" ht="35.25" customHeight="1" x14ac:dyDescent="0.25">
      <c r="B31" s="101"/>
      <c r="C31" s="162" t="s">
        <v>181</v>
      </c>
      <c r="D31" s="163"/>
      <c r="E31" s="160" t="s">
        <v>182</v>
      </c>
      <c r="F31" s="161"/>
      <c r="G31" s="104"/>
      <c r="H31" s="105"/>
    </row>
    <row r="32" spans="2:8" ht="31.5" customHeight="1" x14ac:dyDescent="0.25">
      <c r="B32" s="101"/>
      <c r="C32" s="162" t="s">
        <v>183</v>
      </c>
      <c r="D32" s="163"/>
      <c r="E32" s="160" t="s">
        <v>184</v>
      </c>
      <c r="F32" s="161"/>
      <c r="G32" s="104"/>
      <c r="H32" s="105"/>
    </row>
    <row r="33" spans="2:8" ht="35.25" customHeight="1" x14ac:dyDescent="0.25">
      <c r="B33" s="101"/>
      <c r="C33" s="162" t="s">
        <v>185</v>
      </c>
      <c r="D33" s="163"/>
      <c r="E33" s="160" t="s">
        <v>186</v>
      </c>
      <c r="F33" s="161"/>
      <c r="G33" s="104"/>
      <c r="H33" s="105"/>
    </row>
    <row r="34" spans="2:8" ht="59.25" customHeight="1" x14ac:dyDescent="0.25">
      <c r="B34" s="101"/>
      <c r="C34" s="162" t="s">
        <v>187</v>
      </c>
      <c r="D34" s="163"/>
      <c r="E34" s="160" t="s">
        <v>188</v>
      </c>
      <c r="F34" s="161"/>
      <c r="G34" s="104"/>
      <c r="H34" s="105"/>
    </row>
    <row r="35" spans="2:8" ht="29.25" customHeight="1" x14ac:dyDescent="0.25">
      <c r="B35" s="101"/>
      <c r="C35" s="162" t="s">
        <v>29</v>
      </c>
      <c r="D35" s="163"/>
      <c r="E35" s="160" t="s">
        <v>189</v>
      </c>
      <c r="F35" s="161"/>
      <c r="G35" s="104"/>
      <c r="H35" s="105"/>
    </row>
    <row r="36" spans="2:8" ht="82.5" customHeight="1" x14ac:dyDescent="0.25">
      <c r="B36" s="101"/>
      <c r="C36" s="162" t="s">
        <v>191</v>
      </c>
      <c r="D36" s="163"/>
      <c r="E36" s="160" t="s">
        <v>190</v>
      </c>
      <c r="F36" s="161"/>
      <c r="G36" s="104"/>
      <c r="H36" s="105"/>
    </row>
    <row r="37" spans="2:8" ht="46.5" customHeight="1" x14ac:dyDescent="0.25">
      <c r="B37" s="101"/>
      <c r="C37" s="162" t="s">
        <v>38</v>
      </c>
      <c r="D37" s="163"/>
      <c r="E37" s="160" t="s">
        <v>192</v>
      </c>
      <c r="F37" s="161"/>
      <c r="G37" s="104"/>
      <c r="H37" s="105"/>
    </row>
    <row r="38" spans="2:8" ht="6.75" customHeight="1" thickBot="1" x14ac:dyDescent="0.3">
      <c r="B38" s="101"/>
      <c r="C38" s="173"/>
      <c r="D38" s="174"/>
      <c r="E38" s="175"/>
      <c r="F38" s="176"/>
      <c r="G38" s="104"/>
      <c r="H38" s="105"/>
    </row>
    <row r="39" spans="2:8" ht="15.75" thickTop="1" x14ac:dyDescent="0.25">
      <c r="B39" s="101"/>
      <c r="C39" s="102"/>
      <c r="D39" s="102"/>
      <c r="E39" s="103"/>
      <c r="F39" s="103"/>
      <c r="G39" s="104"/>
      <c r="H39" s="105"/>
    </row>
    <row r="40" spans="2:8" ht="21" customHeight="1" x14ac:dyDescent="0.25">
      <c r="B40" s="170" t="s">
        <v>201</v>
      </c>
      <c r="C40" s="171"/>
      <c r="D40" s="171"/>
      <c r="E40" s="171"/>
      <c r="F40" s="171"/>
      <c r="G40" s="171"/>
      <c r="H40" s="172"/>
    </row>
    <row r="41" spans="2:8" ht="20.25" customHeight="1" x14ac:dyDescent="0.25">
      <c r="B41" s="170" t="s">
        <v>202</v>
      </c>
      <c r="C41" s="171"/>
      <c r="D41" s="171"/>
      <c r="E41" s="171"/>
      <c r="F41" s="171"/>
      <c r="G41" s="171"/>
      <c r="H41" s="172"/>
    </row>
    <row r="42" spans="2:8" ht="20.25" customHeight="1" x14ac:dyDescent="0.25">
      <c r="B42" s="170" t="s">
        <v>203</v>
      </c>
      <c r="C42" s="171"/>
      <c r="D42" s="171"/>
      <c r="E42" s="171"/>
      <c r="F42" s="171"/>
      <c r="G42" s="171"/>
      <c r="H42" s="172"/>
    </row>
    <row r="43" spans="2:8" ht="20.25" customHeight="1" x14ac:dyDescent="0.25">
      <c r="B43" s="170" t="s">
        <v>204</v>
      </c>
      <c r="C43" s="171"/>
      <c r="D43" s="171"/>
      <c r="E43" s="171"/>
      <c r="F43" s="171"/>
      <c r="G43" s="171"/>
      <c r="H43" s="172"/>
    </row>
    <row r="44" spans="2:8" x14ac:dyDescent="0.25">
      <c r="B44" s="170" t="s">
        <v>205</v>
      </c>
      <c r="C44" s="171"/>
      <c r="D44" s="171"/>
      <c r="E44" s="171"/>
      <c r="F44" s="171"/>
      <c r="G44" s="171"/>
      <c r="H44" s="172"/>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23"/>
  <sheetViews>
    <sheetView showGridLines="0" tabSelected="1" zoomScaleNormal="100" workbookViewId="0">
      <selection activeCell="B11" sqref="B11:B13"/>
    </sheetView>
  </sheetViews>
  <sheetFormatPr baseColWidth="10" defaultColWidth="11.42578125" defaultRowHeight="16.5" x14ac:dyDescent="0.3"/>
  <cols>
    <col min="1" max="1" width="4.7109375" style="2" customWidth="1"/>
    <col min="2" max="3" width="12" style="2" customWidth="1"/>
    <col min="4" max="4" width="14.140625" style="2" customWidth="1"/>
    <col min="5" max="5" width="26.28515625" style="2" customWidth="1"/>
    <col min="6" max="6" width="21.57031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1" width="31"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8"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50.42578125" style="1" customWidth="1"/>
    <col min="41" max="41" width="13.7109375" style="1" customWidth="1"/>
    <col min="42" max="42" width="18.42578125" style="1" customWidth="1"/>
    <col min="43" max="43" width="53" style="152" customWidth="1"/>
    <col min="44" max="44" width="46.28515625" style="152" customWidth="1"/>
    <col min="45" max="45" width="11.42578125" style="1"/>
    <col min="46" max="46" width="13.7109375" style="1" customWidth="1"/>
    <col min="47" max="47" width="100" style="1" customWidth="1"/>
    <col min="48" max="16384" width="11.42578125" style="1"/>
  </cols>
  <sheetData>
    <row r="1" spans="1:69" x14ac:dyDescent="0.3">
      <c r="A1" s="224" t="s">
        <v>213</v>
      </c>
      <c r="B1" s="224"/>
      <c r="C1" s="224"/>
      <c r="D1" s="224"/>
      <c r="E1" s="219" t="s">
        <v>214</v>
      </c>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row>
    <row r="2" spans="1:69" x14ac:dyDescent="0.3">
      <c r="A2" s="224"/>
      <c r="B2" s="224"/>
      <c r="C2" s="224"/>
      <c r="D2" s="224"/>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row>
    <row r="3" spans="1:69" x14ac:dyDescent="0.3">
      <c r="A3" s="224"/>
      <c r="B3" s="224"/>
      <c r="C3" s="224"/>
      <c r="D3" s="224"/>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row>
    <row r="4" spans="1:69" x14ac:dyDescent="0.3">
      <c r="A4" s="224"/>
      <c r="B4" s="224"/>
      <c r="C4" s="224"/>
      <c r="D4" s="224"/>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row>
    <row r="5" spans="1:69" ht="23.25" x14ac:dyDescent="0.3">
      <c r="A5" s="220" t="s">
        <v>42</v>
      </c>
      <c r="B5" s="221"/>
      <c r="C5" s="225" t="s">
        <v>250</v>
      </c>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153"/>
      <c r="AR5" s="153"/>
      <c r="AS5" s="5"/>
      <c r="AT5" s="5"/>
      <c r="AU5" s="5"/>
      <c r="AV5" s="5"/>
      <c r="AW5" s="5"/>
      <c r="AX5" s="5"/>
      <c r="AY5" s="5"/>
      <c r="AZ5" s="5"/>
      <c r="BA5" s="5"/>
      <c r="BB5" s="5"/>
      <c r="BC5" s="5"/>
      <c r="BD5" s="5"/>
      <c r="BE5" s="5"/>
      <c r="BF5" s="5"/>
      <c r="BG5" s="5"/>
      <c r="BH5" s="5"/>
      <c r="BI5" s="5"/>
      <c r="BJ5" s="5"/>
      <c r="BK5" s="5"/>
      <c r="BL5" s="5"/>
      <c r="BM5" s="5"/>
      <c r="BN5" s="5"/>
      <c r="BO5" s="5"/>
      <c r="BP5" s="5"/>
      <c r="BQ5" s="5"/>
    </row>
    <row r="6" spans="1:69" ht="23.25" x14ac:dyDescent="0.3">
      <c r="A6" s="220" t="s">
        <v>129</v>
      </c>
      <c r="B6" s="221"/>
      <c r="C6" s="228" t="s">
        <v>251</v>
      </c>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153"/>
      <c r="AR6" s="153"/>
      <c r="AS6" s="5"/>
      <c r="AT6" s="5"/>
      <c r="AU6" s="5"/>
      <c r="AV6" s="5"/>
      <c r="AW6" s="5"/>
      <c r="AX6" s="5"/>
      <c r="AY6" s="5"/>
      <c r="AZ6" s="5"/>
      <c r="BA6" s="5"/>
      <c r="BB6" s="5"/>
      <c r="BC6" s="5"/>
      <c r="BD6" s="5"/>
      <c r="BE6" s="5"/>
      <c r="BF6" s="5"/>
      <c r="BG6" s="5"/>
      <c r="BH6" s="5"/>
      <c r="BI6" s="5"/>
      <c r="BJ6" s="5"/>
      <c r="BK6" s="5"/>
      <c r="BL6" s="5"/>
      <c r="BM6" s="5"/>
      <c r="BN6" s="5"/>
      <c r="BO6" s="5"/>
      <c r="BP6" s="5"/>
      <c r="BQ6" s="5"/>
    </row>
    <row r="7" spans="1:69" ht="23.25" x14ac:dyDescent="0.3">
      <c r="A7" s="220" t="s">
        <v>43</v>
      </c>
      <c r="B7" s="221"/>
      <c r="C7" s="225" t="s">
        <v>252</v>
      </c>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7"/>
      <c r="AK7" s="227"/>
      <c r="AL7" s="227"/>
      <c r="AM7" s="227"/>
      <c r="AN7" s="227"/>
      <c r="AO7" s="227"/>
      <c r="AP7" s="227"/>
      <c r="AQ7" s="153"/>
      <c r="AR7" s="153"/>
      <c r="AS7" s="5"/>
      <c r="AT7" s="5"/>
      <c r="AU7" s="5"/>
      <c r="AV7" s="5"/>
      <c r="AW7" s="5"/>
      <c r="AX7" s="5"/>
      <c r="AY7" s="5"/>
      <c r="AZ7" s="5"/>
      <c r="BA7" s="5"/>
      <c r="BB7" s="5"/>
      <c r="BC7" s="5"/>
      <c r="BD7" s="5"/>
      <c r="BE7" s="5"/>
      <c r="BF7" s="5"/>
      <c r="BG7" s="5"/>
      <c r="BH7" s="5"/>
      <c r="BI7" s="5"/>
      <c r="BJ7" s="5"/>
      <c r="BK7" s="5"/>
      <c r="BL7" s="5"/>
      <c r="BM7" s="5"/>
      <c r="BN7" s="5"/>
      <c r="BO7" s="5"/>
      <c r="BP7" s="5"/>
      <c r="BQ7" s="5"/>
    </row>
    <row r="8" spans="1:69" x14ac:dyDescent="0.3">
      <c r="A8" s="222" t="s">
        <v>138</v>
      </c>
      <c r="B8" s="222"/>
      <c r="C8" s="222"/>
      <c r="D8" s="222"/>
      <c r="E8" s="223"/>
      <c r="F8" s="223"/>
      <c r="G8" s="223"/>
      <c r="H8" s="223"/>
      <c r="I8" s="223"/>
      <c r="J8" s="223"/>
      <c r="K8" s="223"/>
      <c r="L8" s="223" t="s">
        <v>139</v>
      </c>
      <c r="M8" s="223"/>
      <c r="N8" s="223"/>
      <c r="O8" s="223"/>
      <c r="P8" s="223"/>
      <c r="Q8" s="223"/>
      <c r="R8" s="223"/>
      <c r="S8" s="223" t="s">
        <v>140</v>
      </c>
      <c r="T8" s="223"/>
      <c r="U8" s="223"/>
      <c r="V8" s="223"/>
      <c r="W8" s="223"/>
      <c r="X8" s="223"/>
      <c r="Y8" s="223"/>
      <c r="Z8" s="223"/>
      <c r="AA8" s="223"/>
      <c r="AB8" s="223"/>
      <c r="AC8" s="223" t="s">
        <v>141</v>
      </c>
      <c r="AD8" s="223"/>
      <c r="AE8" s="223"/>
      <c r="AF8" s="223"/>
      <c r="AG8" s="223"/>
      <c r="AH8" s="223"/>
      <c r="AI8" s="223"/>
      <c r="AJ8" s="222" t="s">
        <v>34</v>
      </c>
      <c r="AK8" s="222"/>
      <c r="AL8" s="222"/>
      <c r="AM8" s="222"/>
      <c r="AN8" s="222"/>
      <c r="AO8" s="222"/>
      <c r="AP8" s="222"/>
      <c r="AQ8" s="222"/>
      <c r="AR8" s="222"/>
      <c r="AS8" s="222"/>
      <c r="AT8" s="222"/>
      <c r="AU8" s="222"/>
      <c r="AV8" s="222"/>
      <c r="AW8" s="5"/>
      <c r="AX8" s="5"/>
      <c r="AY8" s="5"/>
      <c r="AZ8" s="5"/>
      <c r="BA8" s="5"/>
      <c r="BB8" s="5"/>
      <c r="BC8" s="5"/>
      <c r="BD8" s="5"/>
      <c r="BE8" s="5"/>
      <c r="BF8" s="5"/>
      <c r="BG8" s="5"/>
      <c r="BH8" s="5"/>
      <c r="BI8" s="5"/>
      <c r="BJ8" s="5"/>
      <c r="BK8" s="5"/>
      <c r="BL8" s="5"/>
      <c r="BM8" s="5"/>
      <c r="BN8" s="5"/>
      <c r="BO8" s="5"/>
      <c r="BP8" s="5"/>
      <c r="BQ8" s="5"/>
    </row>
    <row r="9" spans="1:69" x14ac:dyDescent="0.3">
      <c r="A9" s="240" t="s">
        <v>0</v>
      </c>
      <c r="B9" s="222" t="s">
        <v>13</v>
      </c>
      <c r="C9" s="222" t="s">
        <v>232</v>
      </c>
      <c r="D9" s="222" t="s">
        <v>2</v>
      </c>
      <c r="E9" s="209" t="s">
        <v>3</v>
      </c>
      <c r="F9" s="209" t="s">
        <v>41</v>
      </c>
      <c r="G9" s="222" t="s">
        <v>1</v>
      </c>
      <c r="H9" s="209" t="s">
        <v>49</v>
      </c>
      <c r="I9" s="209" t="s">
        <v>248</v>
      </c>
      <c r="J9" s="209" t="s">
        <v>249</v>
      </c>
      <c r="K9" s="209" t="s">
        <v>134</v>
      </c>
      <c r="L9" s="209" t="s">
        <v>33</v>
      </c>
      <c r="M9" s="222" t="s">
        <v>5</v>
      </c>
      <c r="N9" s="209" t="s">
        <v>86</v>
      </c>
      <c r="O9" s="209" t="s">
        <v>91</v>
      </c>
      <c r="P9" s="209" t="s">
        <v>44</v>
      </c>
      <c r="Q9" s="222" t="s">
        <v>5</v>
      </c>
      <c r="R9" s="209" t="s">
        <v>47</v>
      </c>
      <c r="S9" s="208" t="s">
        <v>11</v>
      </c>
      <c r="T9" s="209" t="s">
        <v>160</v>
      </c>
      <c r="U9" s="209" t="s">
        <v>212</v>
      </c>
      <c r="V9" s="209" t="s">
        <v>12</v>
      </c>
      <c r="W9" s="209" t="s">
        <v>8</v>
      </c>
      <c r="X9" s="209"/>
      <c r="Y9" s="209"/>
      <c r="Z9" s="209"/>
      <c r="AA9" s="209"/>
      <c r="AB9" s="209"/>
      <c r="AC9" s="208" t="s">
        <v>137</v>
      </c>
      <c r="AD9" s="208" t="s">
        <v>45</v>
      </c>
      <c r="AE9" s="208" t="s">
        <v>5</v>
      </c>
      <c r="AF9" s="208" t="s">
        <v>46</v>
      </c>
      <c r="AG9" s="208" t="s">
        <v>5</v>
      </c>
      <c r="AH9" s="208" t="s">
        <v>48</v>
      </c>
      <c r="AI9" s="208" t="s">
        <v>29</v>
      </c>
      <c r="AJ9" s="209" t="s">
        <v>34</v>
      </c>
      <c r="AK9" s="209" t="s">
        <v>35</v>
      </c>
      <c r="AL9" s="209" t="s">
        <v>36</v>
      </c>
      <c r="AM9" s="209" t="s">
        <v>37</v>
      </c>
      <c r="AN9" s="209" t="s">
        <v>220</v>
      </c>
      <c r="AO9" s="209" t="s">
        <v>38</v>
      </c>
      <c r="AP9" s="209" t="s">
        <v>37</v>
      </c>
      <c r="AQ9" s="209" t="s">
        <v>221</v>
      </c>
      <c r="AR9" s="199" t="s">
        <v>293</v>
      </c>
      <c r="AS9" s="209" t="s">
        <v>38</v>
      </c>
      <c r="AT9" s="230" t="s">
        <v>37</v>
      </c>
      <c r="AU9" s="199" t="s">
        <v>222</v>
      </c>
      <c r="AV9" s="209" t="s">
        <v>38</v>
      </c>
      <c r="AW9" s="5"/>
      <c r="AX9" s="5"/>
      <c r="AY9" s="5"/>
      <c r="AZ9" s="5"/>
      <c r="BA9" s="5"/>
      <c r="BB9" s="5"/>
      <c r="BC9" s="5"/>
      <c r="BD9" s="5"/>
      <c r="BE9" s="5"/>
      <c r="BF9" s="5"/>
      <c r="BG9" s="5"/>
      <c r="BH9" s="5"/>
      <c r="BI9" s="5"/>
      <c r="BJ9" s="5"/>
      <c r="BK9" s="5"/>
      <c r="BL9" s="5"/>
      <c r="BM9" s="5"/>
      <c r="BN9" s="5"/>
      <c r="BO9" s="5"/>
      <c r="BP9" s="5"/>
      <c r="BQ9" s="5"/>
    </row>
    <row r="10" spans="1:69" s="3" customFormat="1" ht="70.5" customHeight="1" x14ac:dyDescent="0.25">
      <c r="A10" s="240"/>
      <c r="B10" s="222"/>
      <c r="C10" s="222"/>
      <c r="D10" s="222"/>
      <c r="E10" s="209"/>
      <c r="F10" s="209"/>
      <c r="G10" s="222"/>
      <c r="H10" s="209"/>
      <c r="I10" s="209"/>
      <c r="J10" s="209"/>
      <c r="K10" s="209"/>
      <c r="L10" s="209"/>
      <c r="M10" s="222"/>
      <c r="N10" s="209"/>
      <c r="O10" s="209"/>
      <c r="P10" s="222"/>
      <c r="Q10" s="222"/>
      <c r="R10" s="209"/>
      <c r="S10" s="208"/>
      <c r="T10" s="209"/>
      <c r="U10" s="209"/>
      <c r="V10" s="209"/>
      <c r="W10" s="134" t="s">
        <v>13</v>
      </c>
      <c r="X10" s="134" t="s">
        <v>17</v>
      </c>
      <c r="Y10" s="134" t="s">
        <v>28</v>
      </c>
      <c r="Z10" s="134" t="s">
        <v>18</v>
      </c>
      <c r="AA10" s="134" t="s">
        <v>21</v>
      </c>
      <c r="AB10" s="134" t="s">
        <v>24</v>
      </c>
      <c r="AC10" s="208"/>
      <c r="AD10" s="208"/>
      <c r="AE10" s="208"/>
      <c r="AF10" s="208"/>
      <c r="AG10" s="208"/>
      <c r="AH10" s="208"/>
      <c r="AI10" s="208"/>
      <c r="AJ10" s="209"/>
      <c r="AK10" s="209"/>
      <c r="AL10" s="209"/>
      <c r="AM10" s="209"/>
      <c r="AN10" s="209"/>
      <c r="AO10" s="209"/>
      <c r="AP10" s="209"/>
      <c r="AQ10" s="209"/>
      <c r="AR10" s="200"/>
      <c r="AS10" s="209"/>
      <c r="AT10" s="231"/>
      <c r="AU10" s="200"/>
      <c r="AV10" s="209"/>
      <c r="AW10" s="21"/>
      <c r="AX10" s="21"/>
      <c r="AY10" s="21"/>
      <c r="AZ10" s="21"/>
      <c r="BA10" s="21"/>
      <c r="BB10" s="21"/>
      <c r="BC10" s="21"/>
      <c r="BD10" s="21"/>
      <c r="BE10" s="21"/>
      <c r="BF10" s="21"/>
      <c r="BG10" s="21"/>
      <c r="BH10" s="21"/>
      <c r="BI10" s="21"/>
      <c r="BJ10" s="21"/>
      <c r="BK10" s="21"/>
      <c r="BL10" s="21"/>
      <c r="BM10" s="21"/>
      <c r="BN10" s="21"/>
      <c r="BO10" s="21"/>
      <c r="BP10" s="21"/>
      <c r="BQ10" s="21"/>
    </row>
    <row r="11" spans="1:69" s="145" customFormat="1" ht="181.5" x14ac:dyDescent="0.25">
      <c r="A11" s="205">
        <v>1</v>
      </c>
      <c r="B11" s="210" t="s">
        <v>229</v>
      </c>
      <c r="C11" s="210" t="s">
        <v>236</v>
      </c>
      <c r="D11" s="204" t="s">
        <v>133</v>
      </c>
      <c r="E11" s="204" t="s">
        <v>273</v>
      </c>
      <c r="F11" s="204" t="s">
        <v>270</v>
      </c>
      <c r="G11" s="204" t="s">
        <v>271</v>
      </c>
      <c r="H11" s="204" t="s">
        <v>122</v>
      </c>
      <c r="I11" s="201" t="s">
        <v>241</v>
      </c>
      <c r="J11" s="201" t="s">
        <v>243</v>
      </c>
      <c r="K11" s="217">
        <v>50</v>
      </c>
      <c r="L11" s="214" t="str">
        <f>IF(K11&lt;=0,"",IF(K11&lt;=2,"Muy Baja",IF(K11&lt;=24,"Baja",IF(K11&lt;=500,"Media",IF(K11&lt;=5000,"Alta","Muy Alta")))))</f>
        <v>Media</v>
      </c>
      <c r="M11" s="215">
        <f>IF(L11="","",IF(L11="Muy Baja",0.2,IF(L11="Baja",0.4,IF(L11="Media",0.6,IF(L11="Alta",0.8,IF(L11="Muy Alta",1,))))))</f>
        <v>0.6</v>
      </c>
      <c r="N11" s="218" t="s">
        <v>151</v>
      </c>
      <c r="O11" s="215" t="str">
        <f>IF(NOT(ISERROR(MATCH(N11,'[1]Tabla Impacto'!$B$221:$B$223,0))),'[1]Tabla Impacto'!$F$223&amp;"Por favor no seleccionar los criterios de impacto(Afectación Económica o presupuestal y Pérdida Reputacional)",N11)</f>
        <v xml:space="preserve">     El riesgo afecta la imagen de la entidad internamente, de conocimiento general, nivel interno, de junta dircetiva y accionistas y/o de provedores</v>
      </c>
      <c r="P11" s="214" t="str">
        <f>IF(OR(O11='[1]Tabla Impacto'!$C$11,O11='[1]Tabla Impacto'!$D$11),"Leve",IF(OR(O11='[1]Tabla Impacto'!$C$12,O11='[1]Tabla Impacto'!$D$12),"Menor",IF(OR(O11='[1]Tabla Impacto'!$C$13,O11='[1]Tabla Impacto'!$D$13),"Moderado",IF(OR(O11='[1]Tabla Impacto'!$C$14,O11='[1]Tabla Impacto'!$D$14),"Mayor",IF(OR(O11='[1]Tabla Impacto'!$C$15,O11='[1]Tabla Impacto'!$D$15),"Catastrófico","")))))</f>
        <v>Menor</v>
      </c>
      <c r="Q11" s="215">
        <f>IF(P11="","",IF(P11="Leve",0.2,IF(P11="Menor",0.4,IF(P11="Moderado",0.6,IF(P11="Mayor",0.8,IF(P11="Catastrófico",1,))))))</f>
        <v>0.4</v>
      </c>
      <c r="R11" s="216"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16">
        <v>1</v>
      </c>
      <c r="T11" s="156" t="s">
        <v>256</v>
      </c>
      <c r="U11" s="137" t="s">
        <v>274</v>
      </c>
      <c r="V11" s="138" t="str">
        <f t="shared" ref="V11:V16" si="0">IF(OR(W11="Preventivo",W11="Detectivo"),"Probabilidad",IF(W11="Correctivo","Impacto",""))</f>
        <v>Probabilidad</v>
      </c>
      <c r="W11" s="139" t="s">
        <v>15</v>
      </c>
      <c r="X11" s="139" t="s">
        <v>9</v>
      </c>
      <c r="Y11" s="140" t="str">
        <f>IF(AND(W11="Preventivo",X11="Automático"),"50%",IF(AND(W11="Preventivo",X11="Manual"),"40%",IF(AND(W11="Detectivo",X11="Automático"),"40%",IF(AND(W11="Detectivo",X11="Manual"),"30%",IF(AND(W11="Correctivo",X11="Automático"),"35%",IF(AND(W11="Correctivo",X11="Manual"),"25%",""))))))</f>
        <v>30%</v>
      </c>
      <c r="Z11" s="139" t="s">
        <v>20</v>
      </c>
      <c r="AA11" s="139" t="s">
        <v>22</v>
      </c>
      <c r="AB11" s="139" t="s">
        <v>119</v>
      </c>
      <c r="AC11" s="141">
        <f>IFERROR(IF(V11="Probabilidad",(M11-(+M11*Y11)),IF(V11="Impacto",M11,"")),"")</f>
        <v>0.42</v>
      </c>
      <c r="AD11" s="142" t="str">
        <f>IFERROR(IF(AC11="","",IF(AC11&lt;=0.2,"Muy Baja",IF(AC11&lt;=0.4,"Baja",IF(AC11&lt;=0.6,"Media",IF(AC11&lt;=0.8,"Alta","Muy Alta"))))),"")</f>
        <v>Media</v>
      </c>
      <c r="AE11" s="140">
        <f>+AC11</f>
        <v>0.42</v>
      </c>
      <c r="AF11" s="142" t="str">
        <f>IFERROR(IF(AG11="","",IF(AG11&lt;=0.2,"Leve",IF(AG11&lt;=0.4,"Menor",IF(AG11&lt;=0.6,"Moderado",IF(AG11&lt;=0.8,"Mayor","Catastrófico"))))),"")</f>
        <v>Menor</v>
      </c>
      <c r="AG11" s="140">
        <f>IFERROR(IF(V11="Impacto",(Q11-(+Q11*Y11)),IF(V11="Probabilidad",Q11,"")),"")</f>
        <v>0.4</v>
      </c>
      <c r="AH11" s="143"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39" t="s">
        <v>135</v>
      </c>
      <c r="AJ11" s="117" t="s">
        <v>257</v>
      </c>
      <c r="AK11" s="229" t="s">
        <v>258</v>
      </c>
      <c r="AL11" s="119">
        <v>45170</v>
      </c>
      <c r="AM11" s="119">
        <v>45072</v>
      </c>
      <c r="AN11" s="117" t="s">
        <v>279</v>
      </c>
      <c r="AO11" s="118" t="s">
        <v>39</v>
      </c>
      <c r="AP11" s="136">
        <v>45161</v>
      </c>
      <c r="AQ11" s="154" t="s">
        <v>287</v>
      </c>
      <c r="AR11" s="158" t="s">
        <v>294</v>
      </c>
      <c r="AS11" s="118" t="s">
        <v>40</v>
      </c>
      <c r="AT11" s="159">
        <v>45244</v>
      </c>
      <c r="AU11" s="154" t="s">
        <v>300</v>
      </c>
      <c r="AV11" s="155" t="s">
        <v>39</v>
      </c>
      <c r="AW11" s="144"/>
      <c r="AX11" s="144"/>
      <c r="AY11" s="144"/>
      <c r="AZ11" s="144"/>
      <c r="BA11" s="144"/>
      <c r="BB11" s="144"/>
      <c r="BC11" s="144"/>
      <c r="BD11" s="144"/>
      <c r="BE11" s="144"/>
      <c r="BF11" s="144"/>
      <c r="BG11" s="144"/>
      <c r="BH11" s="144"/>
      <c r="BI11" s="144"/>
      <c r="BJ11" s="144"/>
      <c r="BK11" s="144"/>
      <c r="BL11" s="144"/>
      <c r="BM11" s="144"/>
      <c r="BN11" s="144"/>
      <c r="BO11" s="144"/>
      <c r="BP11" s="144"/>
      <c r="BQ11" s="144"/>
    </row>
    <row r="12" spans="1:69" s="145" customFormat="1" ht="65.25" customHeight="1" x14ac:dyDescent="0.25">
      <c r="A12" s="206"/>
      <c r="B12" s="211"/>
      <c r="C12" s="211"/>
      <c r="D12" s="204"/>
      <c r="E12" s="204"/>
      <c r="F12" s="204"/>
      <c r="G12" s="204"/>
      <c r="H12" s="204"/>
      <c r="I12" s="202"/>
      <c r="J12" s="202"/>
      <c r="K12" s="217"/>
      <c r="L12" s="214"/>
      <c r="M12" s="215"/>
      <c r="N12" s="218"/>
      <c r="O12" s="215">
        <f>IF(NOT(ISERROR(MATCH(N12,_xlfn.ANCHORARRAY(I16),0))),#REF!&amp;"Por favor no seleccionar los criterios de impacto",N12)</f>
        <v>0</v>
      </c>
      <c r="P12" s="214"/>
      <c r="Q12" s="215"/>
      <c r="R12" s="216"/>
      <c r="S12" s="116">
        <v>2</v>
      </c>
      <c r="T12" s="156" t="s">
        <v>268</v>
      </c>
      <c r="U12" s="137" t="s">
        <v>259</v>
      </c>
      <c r="V12" s="138" t="str">
        <f t="shared" si="0"/>
        <v>Probabilidad</v>
      </c>
      <c r="W12" s="139" t="s">
        <v>15</v>
      </c>
      <c r="X12" s="139" t="s">
        <v>9</v>
      </c>
      <c r="Y12" s="140" t="str">
        <f t="shared" ref="Y12:Y13" si="1">IF(AND(W12="Preventivo",X12="Automático"),"50%",IF(AND(W12="Preventivo",X12="Manual"),"40%",IF(AND(W12="Detectivo",X12="Automático"),"40%",IF(AND(W12="Detectivo",X12="Manual"),"30%",IF(AND(W12="Correctivo",X12="Automático"),"35%",IF(AND(W12="Correctivo",X12="Manual"),"25%",""))))))</f>
        <v>30%</v>
      </c>
      <c r="Z12" s="139" t="s">
        <v>19</v>
      </c>
      <c r="AA12" s="139" t="s">
        <v>22</v>
      </c>
      <c r="AB12" s="139" t="s">
        <v>118</v>
      </c>
      <c r="AC12" s="141">
        <f>IFERROR(IF(AND(V11="Probabilidad",V12="Probabilidad"),(AE11-(+AE11*Y12)),IF(V12="Probabilidad",(M11-(+M11*Y12)),IF(V12="Impacto",AE11,""))),"")</f>
        <v>0.29399999999999998</v>
      </c>
      <c r="AD12" s="142" t="str">
        <f t="shared" ref="AD12:AD15" si="2">IFERROR(IF(AC12="","",IF(AC12&lt;=0.2,"Muy Baja",IF(AC12&lt;=0.4,"Baja",IF(AC12&lt;=0.6,"Media",IF(AC12&lt;=0.8,"Alta","Muy Alta"))))),"")</f>
        <v>Baja</v>
      </c>
      <c r="AE12" s="140">
        <f t="shared" ref="AE12:AE13" si="3">+AC12</f>
        <v>0.29399999999999998</v>
      </c>
      <c r="AF12" s="142" t="str">
        <f t="shared" ref="AF12:AF15" si="4">IFERROR(IF(AG12="","",IF(AG12&lt;=0.2,"Leve",IF(AG12&lt;=0.4,"Menor",IF(AG12&lt;=0.6,"Moderado",IF(AG12&lt;=0.8,"Mayor","Catastrófico"))))),"")</f>
        <v>Menor</v>
      </c>
      <c r="AG12" s="140">
        <f>IFERROR(IF(AND(V11="Impacto",V12="Impacto"),(AG11-(+AG11*Y12)),IF(V12="Impacto",($M$10-(+$M$10*Y12)),IF(V12="Probabilidad",AG11,""))),"")</f>
        <v>0.4</v>
      </c>
      <c r="AH12" s="143" t="str">
        <f t="shared" ref="AH12:AH13" si="5">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39" t="s">
        <v>135</v>
      </c>
      <c r="AJ12" s="117" t="s">
        <v>260</v>
      </c>
      <c r="AK12" s="229"/>
      <c r="AL12" s="119">
        <v>45274</v>
      </c>
      <c r="AM12" s="119">
        <v>45072</v>
      </c>
      <c r="AN12" s="117" t="s">
        <v>280</v>
      </c>
      <c r="AO12" s="118" t="s">
        <v>40</v>
      </c>
      <c r="AP12" s="136">
        <v>45161</v>
      </c>
      <c r="AQ12" s="154" t="s">
        <v>288</v>
      </c>
      <c r="AR12" s="158" t="s">
        <v>294</v>
      </c>
      <c r="AS12" s="118" t="s">
        <v>40</v>
      </c>
      <c r="AT12" s="159">
        <v>45244</v>
      </c>
      <c r="AU12" s="154" t="s">
        <v>297</v>
      </c>
      <c r="AV12" s="155" t="s">
        <v>40</v>
      </c>
      <c r="AW12" s="144"/>
      <c r="AX12" s="144"/>
      <c r="AY12" s="144"/>
      <c r="AZ12" s="144"/>
      <c r="BA12" s="144"/>
      <c r="BB12" s="144"/>
      <c r="BC12" s="144"/>
      <c r="BD12" s="144"/>
      <c r="BE12" s="144"/>
      <c r="BF12" s="144"/>
      <c r="BG12" s="144"/>
      <c r="BH12" s="144"/>
      <c r="BI12" s="144"/>
      <c r="BJ12" s="144"/>
      <c r="BK12" s="144"/>
      <c r="BL12" s="144"/>
      <c r="BM12" s="144"/>
      <c r="BN12" s="144"/>
      <c r="BO12" s="144"/>
      <c r="BP12" s="144"/>
      <c r="BQ12" s="144"/>
    </row>
    <row r="13" spans="1:69" s="145" customFormat="1" ht="75" x14ac:dyDescent="0.25">
      <c r="A13" s="207"/>
      <c r="B13" s="212"/>
      <c r="C13" s="212"/>
      <c r="D13" s="204"/>
      <c r="E13" s="204"/>
      <c r="F13" s="204"/>
      <c r="G13" s="204"/>
      <c r="H13" s="204"/>
      <c r="I13" s="203"/>
      <c r="J13" s="203"/>
      <c r="K13" s="217"/>
      <c r="L13" s="214"/>
      <c r="M13" s="215"/>
      <c r="N13" s="218"/>
      <c r="O13" s="215">
        <f>IF(NOT(ISERROR(MATCH(N13,_xlfn.ANCHORARRAY(#REF!),0))),#REF!&amp;"Por favor no seleccionar los criterios de impacto",N13)</f>
        <v>0</v>
      </c>
      <c r="P13" s="214"/>
      <c r="Q13" s="215"/>
      <c r="R13" s="216"/>
      <c r="S13" s="116">
        <v>3</v>
      </c>
      <c r="T13" s="157" t="s">
        <v>285</v>
      </c>
      <c r="U13" s="146" t="s">
        <v>261</v>
      </c>
      <c r="V13" s="138" t="str">
        <f t="shared" si="0"/>
        <v>Impacto</v>
      </c>
      <c r="W13" s="139" t="s">
        <v>16</v>
      </c>
      <c r="X13" s="139" t="s">
        <v>9</v>
      </c>
      <c r="Y13" s="140" t="str">
        <f t="shared" si="1"/>
        <v>25%</v>
      </c>
      <c r="Z13" s="139" t="s">
        <v>20</v>
      </c>
      <c r="AA13" s="139" t="s">
        <v>22</v>
      </c>
      <c r="AB13" s="139" t="s">
        <v>118</v>
      </c>
      <c r="AC13" s="141">
        <f>IFERROR(IF(AND(V12="Probabilidad",V13="Probabilidad"),(AE12-(+AE12*Y13)),IF(V13="Probabilidad",(M12-(+M12*Y13)),IF(V13="Impacto",AE12,""))),"")</f>
        <v>0.29399999999999998</v>
      </c>
      <c r="AD13" s="142" t="str">
        <f t="shared" si="2"/>
        <v>Baja</v>
      </c>
      <c r="AE13" s="140">
        <f t="shared" si="3"/>
        <v>0.29399999999999998</v>
      </c>
      <c r="AF13" s="142" t="str">
        <f t="shared" si="4"/>
        <v>Leve</v>
      </c>
      <c r="AG13" s="140">
        <f>IFERROR(IF(AND(V12="Impacto",V13="Impacto"),(AG12-(+AG12*Y13)),IF(V13="Impacto",($M$10-(+$M$10*Y13)),IF(V13="Probabilidad",AG12,""))),"")</f>
        <v>0</v>
      </c>
      <c r="AH13" s="143" t="str">
        <f t="shared" si="5"/>
        <v>Bajo</v>
      </c>
      <c r="AI13" s="139" t="s">
        <v>135</v>
      </c>
      <c r="AJ13" s="117" t="s">
        <v>272</v>
      </c>
      <c r="AK13" s="229"/>
      <c r="AL13" s="119">
        <v>45206</v>
      </c>
      <c r="AM13" s="119">
        <v>45072</v>
      </c>
      <c r="AN13" s="117" t="s">
        <v>281</v>
      </c>
      <c r="AO13" s="118" t="s">
        <v>40</v>
      </c>
      <c r="AP13" s="136">
        <v>45161</v>
      </c>
      <c r="AQ13" s="154" t="s">
        <v>289</v>
      </c>
      <c r="AR13" s="158" t="s">
        <v>294</v>
      </c>
      <c r="AS13" s="118" t="s">
        <v>39</v>
      </c>
      <c r="AT13" s="159">
        <v>45244</v>
      </c>
      <c r="AU13" s="154" t="s">
        <v>296</v>
      </c>
      <c r="AV13" s="155" t="s">
        <v>39</v>
      </c>
      <c r="AW13" s="144"/>
      <c r="AX13" s="144"/>
      <c r="AY13" s="144"/>
      <c r="AZ13" s="144"/>
      <c r="BA13" s="144"/>
      <c r="BB13" s="144"/>
      <c r="BC13" s="144"/>
      <c r="BD13" s="144"/>
      <c r="BE13" s="144"/>
      <c r="BF13" s="144"/>
      <c r="BG13" s="144"/>
      <c r="BH13" s="144"/>
      <c r="BI13" s="144"/>
      <c r="BJ13" s="144"/>
      <c r="BK13" s="144"/>
      <c r="BL13" s="144"/>
      <c r="BM13" s="144"/>
      <c r="BN13" s="144"/>
      <c r="BO13" s="144"/>
      <c r="BP13" s="144"/>
      <c r="BQ13" s="144"/>
    </row>
    <row r="14" spans="1:69" s="145" customFormat="1" ht="82.5" x14ac:dyDescent="0.25">
      <c r="A14" s="205">
        <v>2</v>
      </c>
      <c r="B14" s="210" t="s">
        <v>229</v>
      </c>
      <c r="C14" s="210" t="s">
        <v>236</v>
      </c>
      <c r="D14" s="204" t="s">
        <v>133</v>
      </c>
      <c r="E14" s="204" t="s">
        <v>253</v>
      </c>
      <c r="F14" s="204" t="s">
        <v>277</v>
      </c>
      <c r="G14" s="213" t="s">
        <v>267</v>
      </c>
      <c r="H14" s="204" t="s">
        <v>122</v>
      </c>
      <c r="I14" s="201" t="s">
        <v>241</v>
      </c>
      <c r="J14" s="201" t="s">
        <v>243</v>
      </c>
      <c r="K14" s="217">
        <v>800</v>
      </c>
      <c r="L14" s="214" t="str">
        <f>IF(K14&lt;=0,"",IF(K14&lt;=2,"Muy Baja",IF(K14&lt;=24,"Baja",IF(K14&lt;=500,"Media",IF(K14&lt;=5000,"Alta","Muy Alta")))))</f>
        <v>Alta</v>
      </c>
      <c r="M14" s="215">
        <f>IF(L14="","",IF(L14="Muy Baja",0.2,IF(L14="Baja",0.4,IF(L14="Media",0.6,IF(L14="Alta",0.8,IF(L14="Muy Alta",1,))))))</f>
        <v>0.8</v>
      </c>
      <c r="N14" s="218" t="s">
        <v>152</v>
      </c>
      <c r="O14" s="215" t="str">
        <f>IF(NOT(ISERROR(MATCH(N14,'[1]Tabla Impacto'!$B$221:$B$223,0))),'[1]Tabla Impacto'!$F$223&amp;"Por favor no seleccionar los criterios de impacto(Afectación Económica o presupuestal y Pérdida Reputacional)",N14)</f>
        <v xml:space="preserve">     El riesgo afecta la imagen de la entidad con algunos usuarios de relevancia frente al logro de los objetivos</v>
      </c>
      <c r="P14" s="214" t="str">
        <f>IF(OR(O14='[1]Tabla Impacto'!$C$11,O14='[1]Tabla Impacto'!$D$11),"Leve",IF(OR(O14='[1]Tabla Impacto'!$C$12,O14='[1]Tabla Impacto'!$D$12),"Menor",IF(OR(O14='[1]Tabla Impacto'!$C$13,O14='[1]Tabla Impacto'!$D$13),"Moderado",IF(OR(O14='[1]Tabla Impacto'!$C$14,O14='[1]Tabla Impacto'!$D$14),"Mayor",IF(OR(O14='[1]Tabla Impacto'!$C$15,O14='[1]Tabla Impacto'!$D$15),"Catastrófico","")))))</f>
        <v>Moderado</v>
      </c>
      <c r="Q14" s="215">
        <f>IF(P14="","",IF(P14="Leve",0.2,IF(P14="Menor",0.4,IF(P14="Moderado",0.6,IF(P14="Mayor",0.8,IF(P14="Catastrófico",1,))))))</f>
        <v>0.6</v>
      </c>
      <c r="R14" s="216"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Alto</v>
      </c>
      <c r="S14" s="116">
        <v>1</v>
      </c>
      <c r="T14" s="156" t="s">
        <v>286</v>
      </c>
      <c r="U14" s="137" t="s">
        <v>275</v>
      </c>
      <c r="V14" s="138" t="str">
        <f t="shared" si="0"/>
        <v>Probabilidad</v>
      </c>
      <c r="W14" s="139" t="s">
        <v>14</v>
      </c>
      <c r="X14" s="139" t="s">
        <v>9</v>
      </c>
      <c r="Y14" s="140" t="str">
        <f>IF(AND(W14="Preventivo",X14="Automático"),"50%",IF(AND(W14="Preventivo",X14="Manual"),"40%",IF(AND(W14="Detectivo",X14="Automático"),"40%",IF(AND(W14="Detectivo",X14="Manual"),"30%",IF(AND(W14="Correctivo",X14="Automático"),"35%",IF(AND(W14="Correctivo",X14="Manual"),"25%",""))))))</f>
        <v>40%</v>
      </c>
      <c r="Z14" s="139" t="s">
        <v>19</v>
      </c>
      <c r="AA14" s="139" t="s">
        <v>22</v>
      </c>
      <c r="AB14" s="139" t="s">
        <v>118</v>
      </c>
      <c r="AC14" s="141">
        <f>IFERROR(IF(V14="Probabilidad",(M14-(+M14*Y14)),IF(V14="Impacto",M14,"")),"")</f>
        <v>0.48</v>
      </c>
      <c r="AD14" s="142" t="str">
        <f>IFERROR(IF(AC14="","",IF(AC14&lt;=0.2,"Muy Baja",IF(AC14&lt;=0.4,"Baja",IF(AC14&lt;=0.6,"Media",IF(AC14&lt;=0.8,"Alta","Muy Alta"))))),"")</f>
        <v>Media</v>
      </c>
      <c r="AE14" s="140">
        <f>+AC14</f>
        <v>0.48</v>
      </c>
      <c r="AF14" s="142" t="str">
        <f>IFERROR(IF(AG14="","",IF(AG14&lt;=0.2,"Leve",IF(AG14&lt;=0.4,"Menor",IF(AG14&lt;=0.6,"Moderado",IF(AG14&lt;=0.8,"Mayor","Catastrófico"))))),"")</f>
        <v>Moderado</v>
      </c>
      <c r="AG14" s="140">
        <f>IFERROR(IF(V14="Impacto",(Q14-(+Q14*Y14)),IF(V14="Probabilidad",Q14,"")),"")</f>
        <v>0.6</v>
      </c>
      <c r="AH14" s="143"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39" t="s">
        <v>135</v>
      </c>
      <c r="AJ14" s="117" t="s">
        <v>262</v>
      </c>
      <c r="AK14" s="117" t="s">
        <v>258</v>
      </c>
      <c r="AL14" s="119">
        <v>44972</v>
      </c>
      <c r="AM14" s="119">
        <v>45072</v>
      </c>
      <c r="AN14" s="136" t="s">
        <v>282</v>
      </c>
      <c r="AO14" s="118" t="s">
        <v>40</v>
      </c>
      <c r="AP14" s="136">
        <v>45161</v>
      </c>
      <c r="AQ14" s="154" t="s">
        <v>290</v>
      </c>
      <c r="AR14" s="158" t="s">
        <v>295</v>
      </c>
      <c r="AS14" s="118" t="s">
        <v>40</v>
      </c>
      <c r="AT14" s="159">
        <v>45247</v>
      </c>
      <c r="AU14" s="154" t="s">
        <v>301</v>
      </c>
      <c r="AV14" s="155" t="s">
        <v>40</v>
      </c>
      <c r="AW14" s="144"/>
      <c r="AX14" s="144"/>
      <c r="AY14" s="144"/>
      <c r="AZ14" s="144"/>
      <c r="BA14" s="144"/>
      <c r="BB14" s="144"/>
      <c r="BC14" s="144"/>
      <c r="BD14" s="144"/>
      <c r="BE14" s="144"/>
      <c r="BF14" s="144"/>
      <c r="BG14" s="144"/>
      <c r="BH14" s="144"/>
      <c r="BI14" s="144"/>
      <c r="BJ14" s="144"/>
      <c r="BK14" s="144"/>
      <c r="BL14" s="144"/>
      <c r="BM14" s="144"/>
      <c r="BN14" s="144"/>
      <c r="BO14" s="144"/>
      <c r="BP14" s="144"/>
      <c r="BQ14" s="144"/>
    </row>
    <row r="15" spans="1:69" s="145" customFormat="1" ht="87.75" customHeight="1" x14ac:dyDescent="0.25">
      <c r="A15" s="207"/>
      <c r="B15" s="212"/>
      <c r="C15" s="212"/>
      <c r="D15" s="204"/>
      <c r="E15" s="204"/>
      <c r="F15" s="204"/>
      <c r="G15" s="213"/>
      <c r="H15" s="204"/>
      <c r="I15" s="203"/>
      <c r="J15" s="203"/>
      <c r="K15" s="217"/>
      <c r="L15" s="214"/>
      <c r="M15" s="215"/>
      <c r="N15" s="218"/>
      <c r="O15" s="215">
        <f>IF(NOT(ISERROR(MATCH(N15,_xlfn.ANCHORARRAY(#REF!),0))),#REF!&amp;"Por favor no seleccionar los criterios de impacto",N15)</f>
        <v>0</v>
      </c>
      <c r="P15" s="214"/>
      <c r="Q15" s="215"/>
      <c r="R15" s="216"/>
      <c r="S15" s="116">
        <v>2</v>
      </c>
      <c r="T15" s="156" t="s">
        <v>269</v>
      </c>
      <c r="U15" s="137" t="s">
        <v>263</v>
      </c>
      <c r="V15" s="138" t="str">
        <f t="shared" si="0"/>
        <v>Probabilidad</v>
      </c>
      <c r="W15" s="139" t="s">
        <v>15</v>
      </c>
      <c r="X15" s="139" t="s">
        <v>9</v>
      </c>
      <c r="Y15" s="140" t="str">
        <f t="shared" ref="Y15" si="6">IF(AND(W15="Preventivo",X15="Automático"),"50%",IF(AND(W15="Preventivo",X15="Manual"),"40%",IF(AND(W15="Detectivo",X15="Automático"),"40%",IF(AND(W15="Detectivo",X15="Manual"),"30%",IF(AND(W15="Correctivo",X15="Automático"),"35%",IF(AND(W15="Correctivo",X15="Manual"),"25%",""))))))</f>
        <v>30%</v>
      </c>
      <c r="Z15" s="139" t="s">
        <v>19</v>
      </c>
      <c r="AA15" s="139" t="s">
        <v>22</v>
      </c>
      <c r="AB15" s="139" t="s">
        <v>119</v>
      </c>
      <c r="AC15" s="141">
        <f>IFERROR(IF(AND(V14="Probabilidad",V15="Probabilidad"),(AE14-(+AE14*Y15)),IF(V15="Probabilidad",(M14-(+M14*Y15)),IF(V15="Impacto",AE14,""))),"")</f>
        <v>0.33599999999999997</v>
      </c>
      <c r="AD15" s="142" t="str">
        <f t="shared" si="2"/>
        <v>Baja</v>
      </c>
      <c r="AE15" s="140">
        <f t="shared" ref="AE15" si="7">+AC15</f>
        <v>0.33599999999999997</v>
      </c>
      <c r="AF15" s="142" t="str">
        <f t="shared" si="4"/>
        <v>Moderado</v>
      </c>
      <c r="AG15" s="140">
        <f>IFERROR(IF(AND(V14="Impacto",V15="Impacto"),(AG14-(+AG14*Y15)),IF(V15="Impacto",($M$10-(+$M$10*Y15)),IF(V15="Probabilidad",AG14,""))),"")</f>
        <v>0.6</v>
      </c>
      <c r="AH15" s="143" t="str">
        <f t="shared" ref="AH15" si="8">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Moderado</v>
      </c>
      <c r="AI15" s="139" t="s">
        <v>32</v>
      </c>
      <c r="AJ15" s="117" t="s">
        <v>264</v>
      </c>
      <c r="AK15" s="117" t="s">
        <v>258</v>
      </c>
      <c r="AL15" s="119">
        <v>45168</v>
      </c>
      <c r="AM15" s="119">
        <v>45072</v>
      </c>
      <c r="AN15" s="117" t="s">
        <v>283</v>
      </c>
      <c r="AO15" s="118" t="s">
        <v>40</v>
      </c>
      <c r="AP15" s="136">
        <v>45161</v>
      </c>
      <c r="AQ15" s="154" t="s">
        <v>290</v>
      </c>
      <c r="AR15" s="158" t="s">
        <v>295</v>
      </c>
      <c r="AS15" s="118" t="s">
        <v>40</v>
      </c>
      <c r="AT15" s="159">
        <v>45247</v>
      </c>
      <c r="AU15" s="154" t="s">
        <v>302</v>
      </c>
      <c r="AV15" s="155" t="s">
        <v>40</v>
      </c>
      <c r="AW15" s="144"/>
      <c r="AX15" s="144"/>
      <c r="AY15" s="144"/>
      <c r="AZ15" s="144"/>
      <c r="BA15" s="144"/>
      <c r="BB15" s="144"/>
      <c r="BC15" s="144"/>
      <c r="BD15" s="144"/>
      <c r="BE15" s="144"/>
      <c r="BF15" s="144"/>
      <c r="BG15" s="144"/>
      <c r="BH15" s="144"/>
      <c r="BI15" s="144"/>
      <c r="BJ15" s="144"/>
      <c r="BK15" s="144"/>
      <c r="BL15" s="144"/>
      <c r="BM15" s="144"/>
      <c r="BN15" s="144"/>
      <c r="BO15" s="144"/>
      <c r="BP15" s="144"/>
      <c r="BQ15" s="144"/>
    </row>
    <row r="16" spans="1:69" s="145" customFormat="1" ht="126.75" customHeight="1" x14ac:dyDescent="0.25">
      <c r="A16" s="116">
        <v>3</v>
      </c>
      <c r="B16" s="135" t="s">
        <v>229</v>
      </c>
      <c r="C16" s="135" t="s">
        <v>236</v>
      </c>
      <c r="D16" s="117" t="s">
        <v>133</v>
      </c>
      <c r="E16" s="117" t="s">
        <v>254</v>
      </c>
      <c r="F16" s="117" t="s">
        <v>255</v>
      </c>
      <c r="G16" s="150" t="s">
        <v>291</v>
      </c>
      <c r="H16" s="117" t="s">
        <v>122</v>
      </c>
      <c r="I16" s="117" t="s">
        <v>243</v>
      </c>
      <c r="J16" s="117" t="s">
        <v>243</v>
      </c>
      <c r="K16" s="118">
        <v>1000</v>
      </c>
      <c r="L16" s="147" t="str">
        <f>IF(K16&lt;=0,"",IF(K16&lt;=2,"Muy Baja",IF(K16&lt;=24,"Baja",IF(K16&lt;=500,"Media",IF(K16&lt;=5000,"Alta","Muy Alta")))))</f>
        <v>Alta</v>
      </c>
      <c r="M16" s="148">
        <f>IF(L16="","",IF(L16="Muy Baja",0.2,IF(L16="Baja",0.4,IF(L16="Media",0.6,IF(L16="Alta",0.8,IF(L16="Muy Alta",1,))))))</f>
        <v>0.8</v>
      </c>
      <c r="N16" s="151" t="s">
        <v>152</v>
      </c>
      <c r="O16" s="148" t="str">
        <f>IF(NOT(ISERROR(MATCH(N16,'[1]Tabla Impacto'!$B$221:$B$223,0))),'[1]Tabla Impacto'!$F$223&amp;"Por favor no seleccionar los criterios de impacto(Afectación Económica o presupuestal y Pérdida Reputacional)",N16)</f>
        <v xml:space="preserve">     El riesgo afecta la imagen de la entidad con algunos usuarios de relevancia frente al logro de los objetivos</v>
      </c>
      <c r="P16" s="147" t="str">
        <f>IF(OR(O16='[1]Tabla Impacto'!$C$11,O16='[1]Tabla Impacto'!$D$11),"Leve",IF(OR(O16='[1]Tabla Impacto'!$C$12,O16='[1]Tabla Impacto'!$D$12),"Menor",IF(OR(O16='[1]Tabla Impacto'!$C$13,O16='[1]Tabla Impacto'!$D$13),"Moderado",IF(OR(O16='[1]Tabla Impacto'!$C$14,O16='[1]Tabla Impacto'!$D$14),"Mayor",IF(OR(O16='[1]Tabla Impacto'!$C$15,O16='[1]Tabla Impacto'!$D$15),"Catastrófico","")))))</f>
        <v>Moderado</v>
      </c>
      <c r="Q16" s="148">
        <f>IF(P16="","",IF(P16="Leve",0.2,IF(P16="Menor",0.4,IF(P16="Moderado",0.6,IF(P16="Mayor",0.8,IF(P16="Catastrófico",1,))))))</f>
        <v>0.6</v>
      </c>
      <c r="R16" s="149"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Alto</v>
      </c>
      <c r="S16" s="116">
        <v>1</v>
      </c>
      <c r="T16" s="156" t="s">
        <v>265</v>
      </c>
      <c r="U16" s="137" t="s">
        <v>276</v>
      </c>
      <c r="V16" s="138" t="str">
        <f t="shared" si="0"/>
        <v>Probabilidad</v>
      </c>
      <c r="W16" s="139" t="s">
        <v>14</v>
      </c>
      <c r="X16" s="139" t="s">
        <v>9</v>
      </c>
      <c r="Y16" s="140" t="str">
        <f>IF(AND(W16="Preventivo",X16="Automático"),"50%",IF(AND(W16="Preventivo",X16="Manual"),"40%",IF(AND(W16="Detectivo",X16="Automático"),"40%",IF(AND(W16="Detectivo",X16="Manual"),"30%",IF(AND(W16="Correctivo",X16="Automático"),"35%",IF(AND(W16="Correctivo",X16="Manual"),"25%",""))))))</f>
        <v>40%</v>
      </c>
      <c r="Z16" s="139" t="s">
        <v>20</v>
      </c>
      <c r="AA16" s="139" t="s">
        <v>22</v>
      </c>
      <c r="AB16" s="139" t="s">
        <v>119</v>
      </c>
      <c r="AC16" s="141">
        <f>IFERROR(IF(V16="Probabilidad",(M16-(+M16*Y16)),IF(V16="Impacto",M16,"")),"")</f>
        <v>0.48</v>
      </c>
      <c r="AD16" s="142" t="str">
        <f>IFERROR(IF(AC16="","",IF(AC16&lt;=0.2,"Muy Baja",IF(AC16&lt;=0.4,"Baja",IF(AC16&lt;=0.6,"Media",IF(AC16&lt;=0.8,"Alta","Muy Alta"))))),"")</f>
        <v>Media</v>
      </c>
      <c r="AE16" s="140">
        <f>+AC16</f>
        <v>0.48</v>
      </c>
      <c r="AF16" s="142" t="str">
        <f>IFERROR(IF(AG16="","",IF(AG16&lt;=0.2,"Leve",IF(AG16&lt;=0.4,"Menor",IF(AG16&lt;=0.6,"Moderado",IF(AG16&lt;=0.8,"Mayor","Catastrófico"))))),"")</f>
        <v>Moderado</v>
      </c>
      <c r="AG16" s="140">
        <f>IFERROR(IF(V16="Impacto",(Q16-(+Q16*Y16)),IF(V16="Probabilidad",Q16,"")),"")</f>
        <v>0.6</v>
      </c>
      <c r="AH16" s="143" t="str">
        <f>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Moderado</v>
      </c>
      <c r="AI16" s="139" t="s">
        <v>32</v>
      </c>
      <c r="AJ16" s="117" t="s">
        <v>266</v>
      </c>
      <c r="AK16" s="117" t="s">
        <v>258</v>
      </c>
      <c r="AL16" s="119">
        <v>44972</v>
      </c>
      <c r="AM16" s="119">
        <v>45072</v>
      </c>
      <c r="AN16" s="117" t="s">
        <v>284</v>
      </c>
      <c r="AO16" s="118" t="s">
        <v>40</v>
      </c>
      <c r="AP16" s="136">
        <v>45161</v>
      </c>
      <c r="AQ16" s="154" t="s">
        <v>292</v>
      </c>
      <c r="AR16" s="158" t="s">
        <v>294</v>
      </c>
      <c r="AS16" s="118" t="s">
        <v>40</v>
      </c>
      <c r="AT16" s="159">
        <v>45244</v>
      </c>
      <c r="AU16" s="154" t="s">
        <v>298</v>
      </c>
      <c r="AV16" s="155" t="s">
        <v>39</v>
      </c>
      <c r="AW16" s="144"/>
      <c r="AX16" s="144"/>
      <c r="AY16" s="144"/>
      <c r="AZ16" s="144"/>
      <c r="BA16" s="144"/>
      <c r="BB16" s="144"/>
      <c r="BC16" s="144"/>
      <c r="BD16" s="144"/>
      <c r="BE16" s="144"/>
      <c r="BF16" s="144"/>
      <c r="BG16" s="144"/>
      <c r="BH16" s="144"/>
      <c r="BI16" s="144"/>
      <c r="BJ16" s="144"/>
      <c r="BK16" s="144"/>
      <c r="BL16" s="144"/>
      <c r="BM16" s="144"/>
      <c r="BN16" s="144"/>
      <c r="BO16" s="144"/>
      <c r="BP16" s="144"/>
      <c r="BQ16" s="144"/>
    </row>
    <row r="17" spans="1:42" x14ac:dyDescent="0.3">
      <c r="A17" s="115"/>
      <c r="B17" s="133"/>
      <c r="C17" s="133"/>
      <c r="D17" s="237" t="s">
        <v>130</v>
      </c>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row>
    <row r="19" spans="1:42" x14ac:dyDescent="0.3">
      <c r="A19" s="120"/>
      <c r="B19" s="121"/>
      <c r="C19" s="121"/>
      <c r="D19" s="121"/>
      <c r="E19" s="121"/>
      <c r="F19" s="121"/>
      <c r="G19" s="121"/>
      <c r="H19" s="1"/>
      <c r="I19" s="1"/>
      <c r="J19" s="1"/>
      <c r="L19" s="124"/>
      <c r="M19" s="121"/>
      <c r="N19" s="121"/>
      <c r="O19" s="121"/>
      <c r="P19" s="121"/>
      <c r="Q19" s="121"/>
      <c r="R19" s="121"/>
      <c r="S19" s="121"/>
      <c r="T19" s="121"/>
      <c r="U19" s="121"/>
      <c r="V19" s="125"/>
      <c r="W19" s="125"/>
      <c r="X19" s="121"/>
      <c r="Y19" s="121"/>
      <c r="Z19" s="121"/>
      <c r="AA19" s="121"/>
      <c r="AB19" s="121"/>
      <c r="AC19" s="121"/>
      <c r="AD19" s="121"/>
      <c r="AE19" s="121"/>
      <c r="AF19" s="121"/>
      <c r="AG19" s="121"/>
      <c r="AH19" s="121"/>
      <c r="AI19" s="126"/>
      <c r="AJ19" s="126"/>
      <c r="AK19" s="121"/>
      <c r="AL19" s="121"/>
      <c r="AM19" s="121"/>
      <c r="AN19" s="121"/>
      <c r="AO19" s="121"/>
      <c r="AP19" s="121"/>
    </row>
    <row r="20" spans="1:42" ht="18" x14ac:dyDescent="0.3">
      <c r="A20" s="239" t="s">
        <v>278</v>
      </c>
      <c r="B20" s="239"/>
      <c r="C20" s="239"/>
      <c r="D20" s="239"/>
      <c r="E20" s="239"/>
      <c r="F20" s="239"/>
      <c r="G20" s="239"/>
      <c r="H20" s="1"/>
      <c r="I20" s="1"/>
      <c r="J20" s="1"/>
      <c r="K20" s="234" t="s">
        <v>299</v>
      </c>
      <c r="L20" s="235"/>
      <c r="M20" s="235"/>
      <c r="N20" s="236"/>
      <c r="O20" s="121"/>
      <c r="P20" s="121"/>
      <c r="Q20" s="121"/>
      <c r="R20" s="121"/>
      <c r="S20" s="121"/>
      <c r="T20" s="121"/>
      <c r="U20" s="126"/>
      <c r="V20" s="125"/>
      <c r="W20" s="125"/>
      <c r="X20" s="121"/>
      <c r="Y20" s="125"/>
      <c r="Z20" s="125"/>
      <c r="AA20" s="121"/>
      <c r="AB20" s="121"/>
      <c r="AC20" s="121"/>
      <c r="AD20" s="121"/>
      <c r="AE20" s="121"/>
      <c r="AF20" s="121"/>
      <c r="AG20" s="121"/>
      <c r="AH20" s="121"/>
      <c r="AI20" s="121"/>
      <c r="AJ20" s="121"/>
      <c r="AK20" s="121"/>
      <c r="AL20" s="121"/>
      <c r="AM20" s="121"/>
      <c r="AN20" s="121"/>
      <c r="AO20" s="121"/>
      <c r="AP20" s="121"/>
    </row>
    <row r="21" spans="1:42" ht="17.25" thickBot="1" x14ac:dyDescent="0.35">
      <c r="A21"/>
      <c r="B21"/>
      <c r="C21"/>
      <c r="D21"/>
      <c r="E21"/>
      <c r="F21"/>
      <c r="G21"/>
      <c r="H21" s="1"/>
      <c r="I21" s="1"/>
      <c r="J21" s="1"/>
      <c r="L21" s="122" t="str">
        <f>+IFERROR(VLOOKUP(H21,$H$176:$L$180,3,FALSE)*VLOOKUP(K21,$K$176:$L$180,3,FALSE),"")</f>
        <v/>
      </c>
      <c r="M21"/>
      <c r="N21"/>
      <c r="O21"/>
      <c r="P21"/>
      <c r="Q21"/>
      <c r="R21"/>
      <c r="S21"/>
      <c r="T21"/>
      <c r="U21"/>
      <c r="V21" s="122"/>
      <c r="W21" s="123"/>
      <c r="X21"/>
      <c r="Y21" s="123"/>
      <c r="Z21" s="123"/>
      <c r="AA21" s="128"/>
      <c r="AB21" s="128"/>
      <c r="AC21" s="128"/>
      <c r="AD21" s="128"/>
      <c r="AE21" s="127"/>
      <c r="AF21" s="127"/>
      <c r="AG21" s="128"/>
      <c r="AH21" s="129"/>
      <c r="AI21"/>
      <c r="AJ21"/>
      <c r="AK21"/>
      <c r="AL21" s="128"/>
      <c r="AM21"/>
      <c r="AN21" s="128"/>
      <c r="AO21"/>
      <c r="AP21" s="128"/>
    </row>
    <row r="22" spans="1:42" ht="19.5" thickTop="1" thickBot="1" x14ac:dyDescent="0.35">
      <c r="A22" s="232" t="s">
        <v>215</v>
      </c>
      <c r="B22" s="232"/>
      <c r="C22" s="232"/>
      <c r="D22" s="232"/>
      <c r="E22" s="232"/>
      <c r="F22" s="232"/>
      <c r="G22" s="131" t="s">
        <v>216</v>
      </c>
      <c r="H22" s="232" t="s">
        <v>217</v>
      </c>
      <c r="I22" s="232"/>
      <c r="J22" s="232"/>
      <c r="K22" s="232"/>
      <c r="L22" s="232"/>
      <c r="M22" s="232"/>
      <c r="N22" s="232"/>
      <c r="O22" s="132"/>
      <c r="P22" s="233" t="s">
        <v>218</v>
      </c>
      <c r="Q22" s="233"/>
      <c r="R22" s="233"/>
      <c r="S22" s="232" t="s">
        <v>219</v>
      </c>
      <c r="T22" s="232"/>
      <c r="U22" s="232"/>
      <c r="V22" s="232"/>
      <c r="W22" s="233">
        <v>1</v>
      </c>
      <c r="X22" s="233"/>
      <c r="Y22" s="233"/>
      <c r="Z22" s="233"/>
      <c r="AA22" s="130"/>
      <c r="AB22" s="130"/>
      <c r="AC22" s="130"/>
      <c r="AD22" s="130"/>
      <c r="AE22" s="130"/>
      <c r="AF22" s="130"/>
      <c r="AG22" s="130"/>
      <c r="AH22" s="130"/>
      <c r="AI22" s="130"/>
      <c r="AJ22" s="130"/>
      <c r="AK22" s="130"/>
      <c r="AL22" s="130"/>
      <c r="AM22" s="130"/>
      <c r="AN22" s="130"/>
      <c r="AO22" s="130"/>
      <c r="AP22" s="130"/>
    </row>
    <row r="23" spans="1:42" ht="17.25" thickTop="1" x14ac:dyDescent="0.3"/>
  </sheetData>
  <dataConsolidate/>
  <mergeCells count="101">
    <mergeCell ref="S22:V22"/>
    <mergeCell ref="W22:Z22"/>
    <mergeCell ref="A22:F22"/>
    <mergeCell ref="K20:N20"/>
    <mergeCell ref="H22:N22"/>
    <mergeCell ref="P22:R22"/>
    <mergeCell ref="D17:AP17"/>
    <mergeCell ref="A20:G20"/>
    <mergeCell ref="G9:G10"/>
    <mergeCell ref="F9:F10"/>
    <mergeCell ref="E9:E10"/>
    <mergeCell ref="D9:D10"/>
    <mergeCell ref="R9:R10"/>
    <mergeCell ref="N9:N10"/>
    <mergeCell ref="O9:O10"/>
    <mergeCell ref="AF9:AF10"/>
    <mergeCell ref="AD9:AD10"/>
    <mergeCell ref="AE9:AE10"/>
    <mergeCell ref="K9:K10"/>
    <mergeCell ref="L9:L10"/>
    <mergeCell ref="M9:M10"/>
    <mergeCell ref="P9:P10"/>
    <mergeCell ref="A9:A10"/>
    <mergeCell ref="AJ9:AJ10"/>
    <mergeCell ref="AV9:AV10"/>
    <mergeCell ref="AK11:AK13"/>
    <mergeCell ref="C9:C10"/>
    <mergeCell ref="B9:B10"/>
    <mergeCell ref="V9:V10"/>
    <mergeCell ref="Q9:Q10"/>
    <mergeCell ref="W9:AB9"/>
    <mergeCell ref="H9:H10"/>
    <mergeCell ref="AN9:AN10"/>
    <mergeCell ref="AM9:AM10"/>
    <mergeCell ref="AL9:AL10"/>
    <mergeCell ref="AK9:AK10"/>
    <mergeCell ref="S9:S10"/>
    <mergeCell ref="T9:T10"/>
    <mergeCell ref="AC9:AC10"/>
    <mergeCell ref="I9:I10"/>
    <mergeCell ref="AU9:AU10"/>
    <mergeCell ref="AQ9:AQ10"/>
    <mergeCell ref="AS9:AS10"/>
    <mergeCell ref="AT9:AT10"/>
    <mergeCell ref="AP9:AP10"/>
    <mergeCell ref="AO9:AO10"/>
    <mergeCell ref="J9:J10"/>
    <mergeCell ref="AI9:AI10"/>
    <mergeCell ref="E1:AP4"/>
    <mergeCell ref="A5:B5"/>
    <mergeCell ref="A6:B6"/>
    <mergeCell ref="A7:B7"/>
    <mergeCell ref="A8:K8"/>
    <mergeCell ref="A1:D4"/>
    <mergeCell ref="C7:AP7"/>
    <mergeCell ref="C6:AP6"/>
    <mergeCell ref="C5:AP5"/>
    <mergeCell ref="AJ8:AV8"/>
    <mergeCell ref="AC8:AI8"/>
    <mergeCell ref="L8:R8"/>
    <mergeCell ref="S8:AB8"/>
    <mergeCell ref="P14:P15"/>
    <mergeCell ref="Q14:Q15"/>
    <mergeCell ref="R14:R15"/>
    <mergeCell ref="K11:K13"/>
    <mergeCell ref="L11:L13"/>
    <mergeCell ref="M11:M13"/>
    <mergeCell ref="N11:N13"/>
    <mergeCell ref="O11:O13"/>
    <mergeCell ref="Q11:Q13"/>
    <mergeCell ref="R11:R13"/>
    <mergeCell ref="K14:K15"/>
    <mergeCell ref="L14:L15"/>
    <mergeCell ref="M14:M15"/>
    <mergeCell ref="N14:N15"/>
    <mergeCell ref="O14:O15"/>
    <mergeCell ref="P11:P13"/>
    <mergeCell ref="A14:A15"/>
    <mergeCell ref="B11:B13"/>
    <mergeCell ref="C11:C13"/>
    <mergeCell ref="C14:C15"/>
    <mergeCell ref="B14:B15"/>
    <mergeCell ref="I14:I15"/>
    <mergeCell ref="J14:J15"/>
    <mergeCell ref="D14:D15"/>
    <mergeCell ref="E14:E15"/>
    <mergeCell ref="F14:F15"/>
    <mergeCell ref="G14:G15"/>
    <mergeCell ref="H14:H15"/>
    <mergeCell ref="AR9:AR10"/>
    <mergeCell ref="I11:I13"/>
    <mergeCell ref="J11:J13"/>
    <mergeCell ref="D11:D13"/>
    <mergeCell ref="E11:E13"/>
    <mergeCell ref="F11:F13"/>
    <mergeCell ref="G11:G13"/>
    <mergeCell ref="H11:H13"/>
    <mergeCell ref="A11:A13"/>
    <mergeCell ref="AH9:AH10"/>
    <mergeCell ref="AG9:AG10"/>
    <mergeCell ref="U9:U10"/>
  </mergeCells>
  <conditionalFormatting sqref="L11 L14">
    <cfRule type="cellIs" dxfId="47" priority="89" operator="equal">
      <formula>"Alta"</formula>
    </cfRule>
    <cfRule type="cellIs" dxfId="46" priority="88" operator="equal">
      <formula>"Muy Alta"</formula>
    </cfRule>
    <cfRule type="cellIs" dxfId="45" priority="92" operator="equal">
      <formula>"Muy Baja"</formula>
    </cfRule>
    <cfRule type="cellIs" dxfId="44" priority="91" operator="equal">
      <formula>"Baja"</formula>
    </cfRule>
    <cfRule type="cellIs" dxfId="43" priority="90" operator="equal">
      <formula>"Media"</formula>
    </cfRule>
  </conditionalFormatting>
  <conditionalFormatting sqref="L16">
    <cfRule type="cellIs" dxfId="42" priority="57" operator="equal">
      <formula>"Alta"</formula>
    </cfRule>
    <cfRule type="cellIs" dxfId="41" priority="56" operator="equal">
      <formula>"Muy Alta"</formula>
    </cfRule>
    <cfRule type="cellIs" dxfId="40" priority="58" operator="equal">
      <formula>"Media"</formula>
    </cfRule>
    <cfRule type="cellIs" dxfId="39" priority="59" operator="equal">
      <formula>"Baja"</formula>
    </cfRule>
    <cfRule type="cellIs" dxfId="38" priority="60" operator="equal">
      <formula>"Muy Baja"</formula>
    </cfRule>
  </conditionalFormatting>
  <conditionalFormatting sqref="O11:O16">
    <cfRule type="containsText" dxfId="37" priority="10" operator="containsText" text="❌">
      <formula>NOT(ISERROR(SEARCH("❌",O11)))</formula>
    </cfRule>
  </conditionalFormatting>
  <conditionalFormatting sqref="P11 P14 P16">
    <cfRule type="cellIs" dxfId="36" priority="84" operator="equal">
      <formula>"Mayor"</formula>
    </cfRule>
    <cfRule type="cellIs" dxfId="35" priority="85" operator="equal">
      <formula>"Moderado"</formula>
    </cfRule>
    <cfRule type="cellIs" dxfId="34" priority="87" operator="equal">
      <formula>"Leve"</formula>
    </cfRule>
    <cfRule type="cellIs" dxfId="33" priority="86" operator="equal">
      <formula>"Menor"</formula>
    </cfRule>
    <cfRule type="cellIs" dxfId="32" priority="83" operator="equal">
      <formula>"Catastrófico"</formula>
    </cfRule>
  </conditionalFormatting>
  <conditionalFormatting sqref="R11">
    <cfRule type="cellIs" dxfId="31" priority="81" operator="equal">
      <formula>"Moderado"</formula>
    </cfRule>
    <cfRule type="cellIs" dxfId="30" priority="80" operator="equal">
      <formula>"Alto"</formula>
    </cfRule>
    <cfRule type="cellIs" dxfId="29" priority="82" operator="equal">
      <formula>"Bajo"</formula>
    </cfRule>
    <cfRule type="cellIs" dxfId="28" priority="79" operator="equal">
      <formula>"Extremo"</formula>
    </cfRule>
  </conditionalFormatting>
  <conditionalFormatting sqref="R14">
    <cfRule type="cellIs" dxfId="27" priority="61" operator="equal">
      <formula>"Extremo"</formula>
    </cfRule>
    <cfRule type="cellIs" dxfId="26" priority="62" operator="equal">
      <formula>"Alto"</formula>
    </cfRule>
    <cfRule type="cellIs" dxfId="25" priority="63" operator="equal">
      <formula>"Moderado"</formula>
    </cfRule>
    <cfRule type="cellIs" dxfId="24" priority="64" operator="equal">
      <formula>"Bajo"</formula>
    </cfRule>
  </conditionalFormatting>
  <conditionalFormatting sqref="R16">
    <cfRule type="cellIs" dxfId="23" priority="52" operator="equal">
      <formula>"Extremo"</formula>
    </cfRule>
    <cfRule type="cellIs" dxfId="22" priority="53" operator="equal">
      <formula>"Alto"</formula>
    </cfRule>
    <cfRule type="cellIs" dxfId="21" priority="54" operator="equal">
      <formula>"Moderado"</formula>
    </cfRule>
    <cfRule type="cellIs" dxfId="20" priority="55" operator="equal">
      <formula>"Bajo"</formula>
    </cfRule>
  </conditionalFormatting>
  <conditionalFormatting sqref="AD11:AD16">
    <cfRule type="cellIs" dxfId="19" priority="76" operator="equal">
      <formula>"Media"</formula>
    </cfRule>
    <cfRule type="cellIs" dxfId="18" priority="77" operator="equal">
      <formula>"Baja"</formula>
    </cfRule>
    <cfRule type="cellIs" dxfId="17" priority="78" operator="equal">
      <formula>"Muy Baja"</formula>
    </cfRule>
    <cfRule type="cellIs" dxfId="16" priority="74" operator="equal">
      <formula>"Muy Alta"</formula>
    </cfRule>
    <cfRule type="cellIs" dxfId="15" priority="75" operator="equal">
      <formula>"Alta"</formula>
    </cfRule>
  </conditionalFormatting>
  <conditionalFormatting sqref="AE19:AE21">
    <cfRule type="cellIs" dxfId="14" priority="93" stopIfTrue="1" operator="equal">
      <formula>#REF!</formula>
    </cfRule>
    <cfRule type="cellIs" dxfId="13" priority="94" operator="equal">
      <formula>#REF!</formula>
    </cfRule>
    <cfRule type="cellIs" dxfId="12" priority="95" operator="equal">
      <formula>#REF!</formula>
    </cfRule>
  </conditionalFormatting>
  <conditionalFormatting sqref="AF11:AF16">
    <cfRule type="cellIs" dxfId="11" priority="69" operator="equal">
      <formula>"Catastrófico"</formula>
    </cfRule>
    <cfRule type="cellIs" dxfId="10" priority="73" operator="equal">
      <formula>"Leve"</formula>
    </cfRule>
    <cfRule type="cellIs" dxfId="9" priority="72" operator="equal">
      <formula>"Menor"</formula>
    </cfRule>
    <cfRule type="cellIs" dxfId="8" priority="71" operator="equal">
      <formula>"Moderado"</formula>
    </cfRule>
    <cfRule type="cellIs" dxfId="7" priority="70" operator="equal">
      <formula>"Mayor"</formula>
    </cfRule>
  </conditionalFormatting>
  <conditionalFormatting sqref="AF19:AF21">
    <cfRule type="cellIs" dxfId="6" priority="96" stopIfTrue="1" operator="equal">
      <formula>#REF!</formula>
    </cfRule>
    <cfRule type="cellIs" dxfId="5" priority="97" stopIfTrue="1" operator="equal">
      <formula>#REF!</formula>
    </cfRule>
    <cfRule type="cellIs" dxfId="4" priority="98" stopIfTrue="1" operator="equal">
      <formula>#REF!</formula>
    </cfRule>
  </conditionalFormatting>
  <conditionalFormatting sqref="AH11:AH16">
    <cfRule type="cellIs" dxfId="3" priority="65" operator="equal">
      <formula>"Extremo"</formula>
    </cfRule>
    <cfRule type="cellIs" dxfId="2" priority="66" operator="equal">
      <formula>"Alto"</formula>
    </cfRule>
    <cfRule type="cellIs" dxfId="1" priority="67" operator="equal">
      <formula>"Moderado"</formula>
    </cfRule>
    <cfRule type="cellIs" dxfId="0" priority="68" operator="equal">
      <formula>"Bajo"</formula>
    </cfRule>
  </conditionalFormatting>
  <dataValidations count="7">
    <dataValidation type="list" allowBlank="1" showInputMessage="1" showErrorMessage="1" sqref="G19" xr:uid="{00000000-0002-0000-0100-000000000000}">
      <formula1>$G$176:$G$185</formula1>
    </dataValidation>
    <dataValidation type="list" allowBlank="1" showInputMessage="1" showErrorMessage="1" sqref="G21 AE21:AF21" xr:uid="{00000000-0002-0000-0100-000001000000}">
      <formula1>#REF!</formula1>
    </dataValidation>
    <dataValidation type="list" allowBlank="1" showInputMessage="1" showErrorMessage="1" sqref="V21" xr:uid="{00000000-0002-0000-0100-000002000000}">
      <formula1>$N$176:$N$177</formula1>
    </dataValidation>
    <dataValidation type="list" allowBlank="1" showInputMessage="1" showErrorMessage="1" sqref="K21" xr:uid="{00000000-0002-0000-0100-000003000000}">
      <formula1>$K$176:$K$180</formula1>
    </dataValidation>
    <dataValidation type="list" allowBlank="1" showInputMessage="1" showErrorMessage="1" sqref="H21:J21" xr:uid="{00000000-0002-0000-0100-000004000000}">
      <formula1>$H$176:$H$180</formula1>
    </dataValidation>
    <dataValidation type="list" allowBlank="1" showInputMessage="1" showErrorMessage="1" sqref="AL21 AP21 AN21 W21 Y21:AD21" xr:uid="{00000000-0002-0000-0100-000005000000}">
      <formula1>$AL$176:$AL$183</formula1>
    </dataValidation>
    <dataValidation allowBlank="1" showInputMessage="1" showErrorMessage="1" error="Recuerde que las acciones se generan bajo la medida de mitigar el riesgo" sqref="AN15:AN16" xr:uid="{00000000-0002-0000-0100-000006000000}"/>
  </dataValidations>
  <hyperlinks>
    <hyperlink ref="AR11" r:id="rId1" xr:uid="{00000000-0004-0000-0100-000000000000}"/>
    <hyperlink ref="AR12" r:id="rId2" xr:uid="{00000000-0004-0000-0100-000001000000}"/>
    <hyperlink ref="AR13" r:id="rId3" xr:uid="{00000000-0004-0000-0100-000002000000}"/>
    <hyperlink ref="AR16" r:id="rId4" xr:uid="{00000000-0004-0000-0100-000003000000}"/>
  </hyperlinks>
  <pageMargins left="0.7" right="0.7" top="0.75" bottom="0.75" header="0.3" footer="0.3"/>
  <pageSetup orientation="portrait" r:id="rId5"/>
  <drawing r:id="rId6"/>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7000000}">
          <x14:formula1>
            <xm:f>Listas!$A$2:$A$9</xm:f>
          </x14:formula1>
          <xm:sqref>B11 B16 B14</xm:sqref>
        </x14:dataValidation>
        <x14:dataValidation type="list" allowBlank="1" showInputMessage="1" showErrorMessage="1" xr:uid="{00000000-0002-0000-0100-000008000000}">
          <x14:formula1>
            <xm:f>Listas!$B$2:$B$7</xm:f>
          </x14:formula1>
          <xm:sqref>C11 C16 C14</xm:sqref>
        </x14:dataValidation>
        <x14:dataValidation type="list" allowBlank="1" showInputMessage="1" showErrorMessage="1" xr:uid="{00000000-0002-0000-0100-000009000000}">
          <x14:formula1>
            <xm:f>Listas!$C$2:$C$6</xm:f>
          </x14:formula1>
          <xm:sqref>I11 I16 I14</xm:sqref>
        </x14:dataValidation>
        <x14:dataValidation type="list" allowBlank="1" showInputMessage="1" showErrorMessage="1" xr:uid="{00000000-0002-0000-0100-00000A000000}">
          <x14:formula1>
            <xm:f>Listas!$D$2:$D$5</xm:f>
          </x14:formula1>
          <xm:sqref>J11 J16 J14</xm:sqref>
        </x14:dataValidation>
        <x14:dataValidation type="custom" allowBlank="1" showInputMessage="1" showErrorMessage="1" error="Recuerde que las acciones se generan bajo la medida de mitigar el riesgo" xr:uid="{00000000-0002-0000-0100-00000B000000}">
          <x14:formula1>
            <xm:f>IF(OR(AJ11='Opciones Tratamiento'!$B$2,AJ11='Opciones Tratamiento'!$B$3,AJ11='Opciones Tratamiento'!$B$4),ISBLANK(AJ11),ISTEXT(AJ11))</xm:f>
          </x14:formula1>
          <xm:sqref>AP11:AP16</xm:sqref>
        </x14:dataValidation>
        <x14:dataValidation type="custom" allowBlank="1" showInputMessage="1" showErrorMessage="1" error="Recuerde que las acciones se generan bajo la medida de mitigar el riesgo" xr:uid="{00000000-0002-0000-0100-00000C000000}">
          <x14:formula1>
            <xm:f>IF(OR(AI11='Opciones Tratamiento'!$B$2,AI11='Opciones Tratamiento'!$B$3,AI11='Opciones Tratamiento'!$B$4),ISBLANK(AI11),ISTEXT(AI11))</xm:f>
          </x14:formula1>
          <xm:sqref>AM11:AM16</xm:sqref>
        </x14:dataValidation>
        <x14:dataValidation type="list" allowBlank="1" showInputMessage="1" showErrorMessage="1" xr:uid="{00000000-0002-0000-0100-00000D000000}">
          <x14:formula1>
            <xm:f>'Opciones Tratamiento'!$B$9:$B$10</xm:f>
          </x14:formula1>
          <xm:sqref>AO11:AO16 AS11:AS16</xm:sqref>
        </x14:dataValidation>
        <x14:dataValidation type="custom" allowBlank="1" showInputMessage="1" showErrorMessage="1" error="Recuerde que las acciones se generan bajo la medida de mitigar el riesgo" xr:uid="{00000000-0002-0000-0100-00000E000000}">
          <x14:formula1>
            <xm:f>IF(OR(AI11='Opciones Tratamiento'!$B$2,AI11='Opciones Tratamiento'!$B$3,AI11='Opciones Tratamiento'!$B$4),ISBLANK(AI11),ISTEXT(AI11))</xm:f>
          </x14:formula1>
          <xm:sqref>AN11:AN14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223</v>
      </c>
      <c r="B1" t="s">
        <v>232</v>
      </c>
      <c r="C1" t="s">
        <v>238</v>
      </c>
      <c r="D1" t="s">
        <v>247</v>
      </c>
    </row>
    <row r="2" spans="1:4" x14ac:dyDescent="0.25">
      <c r="A2" t="s">
        <v>231</v>
      </c>
      <c r="B2" t="s">
        <v>233</v>
      </c>
      <c r="C2" t="s">
        <v>239</v>
      </c>
      <c r="D2" t="s">
        <v>244</v>
      </c>
    </row>
    <row r="3" spans="1:4" x14ac:dyDescent="0.25">
      <c r="A3" t="s">
        <v>224</v>
      </c>
      <c r="B3" t="s">
        <v>226</v>
      </c>
      <c r="C3" t="s">
        <v>240</v>
      </c>
      <c r="D3" t="s">
        <v>245</v>
      </c>
    </row>
    <row r="4" spans="1:4" x14ac:dyDescent="0.25">
      <c r="A4" t="s">
        <v>225</v>
      </c>
      <c r="B4" t="s">
        <v>234</v>
      </c>
      <c r="C4" t="s">
        <v>241</v>
      </c>
      <c r="D4" t="s">
        <v>246</v>
      </c>
    </row>
    <row r="5" spans="1:4" x14ac:dyDescent="0.25">
      <c r="A5" t="s">
        <v>226</v>
      </c>
      <c r="B5" t="s">
        <v>235</v>
      </c>
      <c r="C5" t="s">
        <v>242</v>
      </c>
      <c r="D5" t="s">
        <v>243</v>
      </c>
    </row>
    <row r="6" spans="1:4" x14ac:dyDescent="0.25">
      <c r="A6" t="s">
        <v>227</v>
      </c>
      <c r="B6" t="s">
        <v>236</v>
      </c>
      <c r="C6" t="s">
        <v>243</v>
      </c>
    </row>
    <row r="7" spans="1:4" x14ac:dyDescent="0.25">
      <c r="A7" t="s">
        <v>228</v>
      </c>
      <c r="B7" t="s">
        <v>237</v>
      </c>
    </row>
    <row r="8" spans="1:4" x14ac:dyDescent="0.25">
      <c r="A8" t="s">
        <v>229</v>
      </c>
    </row>
    <row r="9" spans="1:4" x14ac:dyDescent="0.25">
      <c r="A9" t="s">
        <v>230</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26" t="s">
        <v>158</v>
      </c>
      <c r="C2" s="326"/>
      <c r="D2" s="326"/>
      <c r="E2" s="326"/>
      <c r="F2" s="326"/>
      <c r="G2" s="326"/>
      <c r="H2" s="326"/>
      <c r="I2" s="326"/>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26"/>
      <c r="C3" s="326"/>
      <c r="D3" s="326"/>
      <c r="E3" s="326"/>
      <c r="F3" s="326"/>
      <c r="G3" s="326"/>
      <c r="H3" s="326"/>
      <c r="I3" s="326"/>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26"/>
      <c r="C4" s="326"/>
      <c r="D4" s="326"/>
      <c r="E4" s="326"/>
      <c r="F4" s="326"/>
      <c r="G4" s="326"/>
      <c r="H4" s="326"/>
      <c r="I4" s="326"/>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41" t="s">
        <v>4</v>
      </c>
      <c r="C6" s="241"/>
      <c r="D6" s="242"/>
      <c r="E6" s="279" t="s">
        <v>115</v>
      </c>
      <c r="F6" s="280"/>
      <c r="G6" s="280"/>
      <c r="H6" s="280"/>
      <c r="I6" s="281"/>
      <c r="J6" s="290" t="e">
        <f>IF(AND('Mapa final'!#REF!="Muy Alta",'Mapa final'!#REF!="Leve"),CONCATENATE("R",'Mapa final'!#REF!),"")</f>
        <v>#REF!</v>
      </c>
      <c r="K6" s="291"/>
      <c r="L6" s="291" t="str">
        <f>IF(AND('Mapa final'!$L$11="Muy Alta",'Mapa final'!$P$11="Leve"),CONCATENATE("R",'Mapa final'!$A$11),"")</f>
        <v/>
      </c>
      <c r="M6" s="291"/>
      <c r="N6" s="291" t="e">
        <f>IF(AND('Mapa final'!#REF!="Muy Alta",'Mapa final'!#REF!="Leve"),CONCATENATE("R",'Mapa final'!#REF!),"")</f>
        <v>#REF!</v>
      </c>
      <c r="O6" s="293"/>
      <c r="P6" s="290" t="e">
        <f>IF(AND('Mapa final'!#REF!="Muy Alta",'Mapa final'!#REF!="Menor"),CONCATENATE("R",'Mapa final'!#REF!),"")</f>
        <v>#REF!</v>
      </c>
      <c r="Q6" s="291"/>
      <c r="R6" s="291" t="str">
        <f>IF(AND('Mapa final'!$L$11="Muy Alta",'Mapa final'!$P$11="Menor"),CONCATENATE("R",'Mapa final'!$A$11),"")</f>
        <v/>
      </c>
      <c r="S6" s="291"/>
      <c r="T6" s="291" t="e">
        <f>IF(AND('Mapa final'!#REF!="Muy Alta",'Mapa final'!#REF!="Menor"),CONCATENATE("R",'Mapa final'!#REF!),"")</f>
        <v>#REF!</v>
      </c>
      <c r="U6" s="293"/>
      <c r="V6" s="290" t="e">
        <f>IF(AND('Mapa final'!#REF!="Muy Alta",'Mapa final'!#REF!="Moderado"),CONCATENATE("R",'Mapa final'!#REF!),"")</f>
        <v>#REF!</v>
      </c>
      <c r="W6" s="291"/>
      <c r="X6" s="291" t="str">
        <f>IF(AND('Mapa final'!$L$11="Muy Alta",'Mapa final'!$P$11="Moderado"),CONCATENATE("R",'Mapa final'!$A$11),"")</f>
        <v/>
      </c>
      <c r="Y6" s="291"/>
      <c r="Z6" s="291" t="e">
        <f>IF(AND('Mapa final'!#REF!="Muy Alta",'Mapa final'!#REF!="Moderado"),CONCATENATE("R",'Mapa final'!#REF!),"")</f>
        <v>#REF!</v>
      </c>
      <c r="AA6" s="293"/>
      <c r="AB6" s="290" t="e">
        <f>IF(AND('Mapa final'!#REF!="Muy Alta",'Mapa final'!#REF!="Mayor"),CONCATENATE("R",'Mapa final'!#REF!),"")</f>
        <v>#REF!</v>
      </c>
      <c r="AC6" s="291"/>
      <c r="AD6" s="291" t="str">
        <f>IF(AND('Mapa final'!$L$11="Muy Alta",'Mapa final'!$P$11="Mayor"),CONCATENATE("R",'Mapa final'!$A$11),"")</f>
        <v/>
      </c>
      <c r="AE6" s="291"/>
      <c r="AF6" s="291" t="e">
        <f>IF(AND('Mapa final'!#REF!="Muy Alta",'Mapa final'!#REF!="Mayor"),CONCATENATE("R",'Mapa final'!#REF!),"")</f>
        <v>#REF!</v>
      </c>
      <c r="AG6" s="293"/>
      <c r="AH6" s="305" t="e">
        <f>IF(AND('Mapa final'!#REF!="Muy Alta",'Mapa final'!#REF!="Catastrófico"),CONCATENATE("R",'Mapa final'!#REF!),"")</f>
        <v>#REF!</v>
      </c>
      <c r="AI6" s="306"/>
      <c r="AJ6" s="306" t="str">
        <f>IF(AND('Mapa final'!$L$11="Muy Alta",'Mapa final'!$P$11="Catastrófico"),CONCATENATE("R",'Mapa final'!$A$11),"")</f>
        <v/>
      </c>
      <c r="AK6" s="306"/>
      <c r="AL6" s="306" t="e">
        <f>IF(AND('Mapa final'!#REF!="Muy Alta",'Mapa final'!#REF!="Catastrófico"),CONCATENATE("R",'Mapa final'!#REF!),"")</f>
        <v>#REF!</v>
      </c>
      <c r="AM6" s="307"/>
      <c r="AO6" s="243" t="s">
        <v>78</v>
      </c>
      <c r="AP6" s="244"/>
      <c r="AQ6" s="244"/>
      <c r="AR6" s="244"/>
      <c r="AS6" s="244"/>
      <c r="AT6" s="24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41"/>
      <c r="C7" s="241"/>
      <c r="D7" s="242"/>
      <c r="E7" s="282"/>
      <c r="F7" s="283"/>
      <c r="G7" s="283"/>
      <c r="H7" s="283"/>
      <c r="I7" s="284"/>
      <c r="J7" s="292"/>
      <c r="K7" s="288"/>
      <c r="L7" s="288"/>
      <c r="M7" s="288"/>
      <c r="N7" s="288"/>
      <c r="O7" s="289"/>
      <c r="P7" s="292"/>
      <c r="Q7" s="288"/>
      <c r="R7" s="288"/>
      <c r="S7" s="288"/>
      <c r="T7" s="288"/>
      <c r="U7" s="289"/>
      <c r="V7" s="292"/>
      <c r="W7" s="288"/>
      <c r="X7" s="288"/>
      <c r="Y7" s="288"/>
      <c r="Z7" s="288"/>
      <c r="AA7" s="289"/>
      <c r="AB7" s="292"/>
      <c r="AC7" s="288"/>
      <c r="AD7" s="288"/>
      <c r="AE7" s="288"/>
      <c r="AF7" s="288"/>
      <c r="AG7" s="289"/>
      <c r="AH7" s="299"/>
      <c r="AI7" s="300"/>
      <c r="AJ7" s="300"/>
      <c r="AK7" s="300"/>
      <c r="AL7" s="300"/>
      <c r="AM7" s="301"/>
      <c r="AN7" s="75"/>
      <c r="AO7" s="246"/>
      <c r="AP7" s="247"/>
      <c r="AQ7" s="247"/>
      <c r="AR7" s="247"/>
      <c r="AS7" s="247"/>
      <c r="AT7" s="248"/>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41"/>
      <c r="C8" s="241"/>
      <c r="D8" s="242"/>
      <c r="E8" s="282"/>
      <c r="F8" s="283"/>
      <c r="G8" s="283"/>
      <c r="H8" s="283"/>
      <c r="I8" s="284"/>
      <c r="J8" s="292" t="e">
        <f>IF(AND('Mapa final'!#REF!="Muy Alta",'Mapa final'!#REF!="Leve"),CONCATENATE("R",'Mapa final'!#REF!),"")</f>
        <v>#REF!</v>
      </c>
      <c r="K8" s="288"/>
      <c r="L8" s="288" t="e">
        <f>IF(AND('Mapa final'!#REF!="Muy Alta",'Mapa final'!#REF!="Leve"),CONCATENATE("R",'Mapa final'!#REF!),"")</f>
        <v>#REF!</v>
      </c>
      <c r="M8" s="288"/>
      <c r="N8" s="288" t="e">
        <f>IF(AND('Mapa final'!#REF!="Muy Alta",'Mapa final'!#REF!="Leve"),CONCATENATE("R",'Mapa final'!#REF!),"")</f>
        <v>#REF!</v>
      </c>
      <c r="O8" s="289"/>
      <c r="P8" s="292" t="e">
        <f>IF(AND('Mapa final'!#REF!="Muy Alta",'Mapa final'!#REF!="Menor"),CONCATENATE("R",'Mapa final'!#REF!),"")</f>
        <v>#REF!</v>
      </c>
      <c r="Q8" s="288"/>
      <c r="R8" s="288" t="e">
        <f>IF(AND('Mapa final'!#REF!="Muy Alta",'Mapa final'!#REF!="Menor"),CONCATENATE("R",'Mapa final'!#REF!),"")</f>
        <v>#REF!</v>
      </c>
      <c r="S8" s="288"/>
      <c r="T8" s="288" t="e">
        <f>IF(AND('Mapa final'!#REF!="Muy Alta",'Mapa final'!#REF!="Menor"),CONCATENATE("R",'Mapa final'!#REF!),"")</f>
        <v>#REF!</v>
      </c>
      <c r="U8" s="289"/>
      <c r="V8" s="292" t="e">
        <f>IF(AND('Mapa final'!#REF!="Muy Alta",'Mapa final'!#REF!="Moderado"),CONCATENATE("R",'Mapa final'!#REF!),"")</f>
        <v>#REF!</v>
      </c>
      <c r="W8" s="288"/>
      <c r="X8" s="288" t="e">
        <f>IF(AND('Mapa final'!#REF!="Muy Alta",'Mapa final'!#REF!="Moderado"),CONCATENATE("R",'Mapa final'!#REF!),"")</f>
        <v>#REF!</v>
      </c>
      <c r="Y8" s="288"/>
      <c r="Z8" s="288" t="e">
        <f>IF(AND('Mapa final'!#REF!="Muy Alta",'Mapa final'!#REF!="Moderado"),CONCATENATE("R",'Mapa final'!#REF!),"")</f>
        <v>#REF!</v>
      </c>
      <c r="AA8" s="289"/>
      <c r="AB8" s="292" t="e">
        <f>IF(AND('Mapa final'!#REF!="Muy Alta",'Mapa final'!#REF!="Mayor"),CONCATENATE("R",'Mapa final'!#REF!),"")</f>
        <v>#REF!</v>
      </c>
      <c r="AC8" s="288"/>
      <c r="AD8" s="288" t="e">
        <f>IF(AND('Mapa final'!#REF!="Muy Alta",'Mapa final'!#REF!="Mayor"),CONCATENATE("R",'Mapa final'!#REF!),"")</f>
        <v>#REF!</v>
      </c>
      <c r="AE8" s="288"/>
      <c r="AF8" s="288" t="e">
        <f>IF(AND('Mapa final'!#REF!="Muy Alta",'Mapa final'!#REF!="Mayor"),CONCATENATE("R",'Mapa final'!#REF!),"")</f>
        <v>#REF!</v>
      </c>
      <c r="AG8" s="289"/>
      <c r="AH8" s="299" t="e">
        <f>IF(AND('Mapa final'!#REF!="Muy Alta",'Mapa final'!#REF!="Catastrófico"),CONCATENATE("R",'Mapa final'!#REF!),"")</f>
        <v>#REF!</v>
      </c>
      <c r="AI8" s="300"/>
      <c r="AJ8" s="300" t="e">
        <f>IF(AND('Mapa final'!#REF!="Muy Alta",'Mapa final'!#REF!="Catastrófico"),CONCATENATE("R",'Mapa final'!#REF!),"")</f>
        <v>#REF!</v>
      </c>
      <c r="AK8" s="300"/>
      <c r="AL8" s="300" t="e">
        <f>IF(AND('Mapa final'!#REF!="Muy Alta",'Mapa final'!#REF!="Catastrófico"),CONCATENATE("R",'Mapa final'!#REF!),"")</f>
        <v>#REF!</v>
      </c>
      <c r="AM8" s="301"/>
      <c r="AN8" s="75"/>
      <c r="AO8" s="246"/>
      <c r="AP8" s="247"/>
      <c r="AQ8" s="247"/>
      <c r="AR8" s="247"/>
      <c r="AS8" s="247"/>
      <c r="AT8" s="248"/>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41"/>
      <c r="C9" s="241"/>
      <c r="D9" s="242"/>
      <c r="E9" s="282"/>
      <c r="F9" s="283"/>
      <c r="G9" s="283"/>
      <c r="H9" s="283"/>
      <c r="I9" s="284"/>
      <c r="J9" s="292"/>
      <c r="K9" s="288"/>
      <c r="L9" s="288"/>
      <c r="M9" s="288"/>
      <c r="N9" s="288"/>
      <c r="O9" s="289"/>
      <c r="P9" s="292"/>
      <c r="Q9" s="288"/>
      <c r="R9" s="288"/>
      <c r="S9" s="288"/>
      <c r="T9" s="288"/>
      <c r="U9" s="289"/>
      <c r="V9" s="292"/>
      <c r="W9" s="288"/>
      <c r="X9" s="288"/>
      <c r="Y9" s="288"/>
      <c r="Z9" s="288"/>
      <c r="AA9" s="289"/>
      <c r="AB9" s="292"/>
      <c r="AC9" s="288"/>
      <c r="AD9" s="288"/>
      <c r="AE9" s="288"/>
      <c r="AF9" s="288"/>
      <c r="AG9" s="289"/>
      <c r="AH9" s="299"/>
      <c r="AI9" s="300"/>
      <c r="AJ9" s="300"/>
      <c r="AK9" s="300"/>
      <c r="AL9" s="300"/>
      <c r="AM9" s="301"/>
      <c r="AN9" s="75"/>
      <c r="AO9" s="246"/>
      <c r="AP9" s="247"/>
      <c r="AQ9" s="247"/>
      <c r="AR9" s="247"/>
      <c r="AS9" s="247"/>
      <c r="AT9" s="248"/>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41"/>
      <c r="C10" s="241"/>
      <c r="D10" s="242"/>
      <c r="E10" s="282"/>
      <c r="F10" s="283"/>
      <c r="G10" s="283"/>
      <c r="H10" s="283"/>
      <c r="I10" s="284"/>
      <c r="J10" s="292" t="e">
        <f>IF(AND('Mapa final'!#REF!="Muy Alta",'Mapa final'!#REF!="Leve"),CONCATENATE("R",'Mapa final'!#REF!),"")</f>
        <v>#REF!</v>
      </c>
      <c r="K10" s="288"/>
      <c r="L10" s="288" t="e">
        <f>IF(AND('Mapa final'!#REF!="Muy Alta",'Mapa final'!#REF!="Leve"),CONCATENATE("R",'Mapa final'!#REF!),"")</f>
        <v>#REF!</v>
      </c>
      <c r="M10" s="288"/>
      <c r="N10" s="288" t="e">
        <f>IF(AND('Mapa final'!#REF!="Muy Alta",'Mapa final'!#REF!="Leve"),CONCATENATE("R",'Mapa final'!#REF!),"")</f>
        <v>#REF!</v>
      </c>
      <c r="O10" s="289"/>
      <c r="P10" s="292" t="e">
        <f>IF(AND('Mapa final'!#REF!="Muy Alta",'Mapa final'!#REF!="Menor"),CONCATENATE("R",'Mapa final'!#REF!),"")</f>
        <v>#REF!</v>
      </c>
      <c r="Q10" s="288"/>
      <c r="R10" s="288" t="e">
        <f>IF(AND('Mapa final'!#REF!="Muy Alta",'Mapa final'!#REF!="Menor"),CONCATENATE("R",'Mapa final'!#REF!),"")</f>
        <v>#REF!</v>
      </c>
      <c r="S10" s="288"/>
      <c r="T10" s="288" t="e">
        <f>IF(AND('Mapa final'!#REF!="Muy Alta",'Mapa final'!#REF!="Menor"),CONCATENATE("R",'Mapa final'!#REF!),"")</f>
        <v>#REF!</v>
      </c>
      <c r="U10" s="289"/>
      <c r="V10" s="292" t="e">
        <f>IF(AND('Mapa final'!#REF!="Muy Alta",'Mapa final'!#REF!="Moderado"),CONCATENATE("R",'Mapa final'!#REF!),"")</f>
        <v>#REF!</v>
      </c>
      <c r="W10" s="288"/>
      <c r="X10" s="288" t="e">
        <f>IF(AND('Mapa final'!#REF!="Muy Alta",'Mapa final'!#REF!="Moderado"),CONCATENATE("R",'Mapa final'!#REF!),"")</f>
        <v>#REF!</v>
      </c>
      <c r="Y10" s="288"/>
      <c r="Z10" s="288" t="e">
        <f>IF(AND('Mapa final'!#REF!="Muy Alta",'Mapa final'!#REF!="Moderado"),CONCATENATE("R",'Mapa final'!#REF!),"")</f>
        <v>#REF!</v>
      </c>
      <c r="AA10" s="289"/>
      <c r="AB10" s="292" t="e">
        <f>IF(AND('Mapa final'!#REF!="Muy Alta",'Mapa final'!#REF!="Mayor"),CONCATENATE("R",'Mapa final'!#REF!),"")</f>
        <v>#REF!</v>
      </c>
      <c r="AC10" s="288"/>
      <c r="AD10" s="288" t="e">
        <f>IF(AND('Mapa final'!#REF!="Muy Alta",'Mapa final'!#REF!="Mayor"),CONCATENATE("R",'Mapa final'!#REF!),"")</f>
        <v>#REF!</v>
      </c>
      <c r="AE10" s="288"/>
      <c r="AF10" s="288" t="e">
        <f>IF(AND('Mapa final'!#REF!="Muy Alta",'Mapa final'!#REF!="Mayor"),CONCATENATE("R",'Mapa final'!#REF!),"")</f>
        <v>#REF!</v>
      </c>
      <c r="AG10" s="289"/>
      <c r="AH10" s="299" t="e">
        <f>IF(AND('Mapa final'!#REF!="Muy Alta",'Mapa final'!#REF!="Catastrófico"),CONCATENATE("R",'Mapa final'!#REF!),"")</f>
        <v>#REF!</v>
      </c>
      <c r="AI10" s="300"/>
      <c r="AJ10" s="300" t="e">
        <f>IF(AND('Mapa final'!#REF!="Muy Alta",'Mapa final'!#REF!="Catastrófico"),CONCATENATE("R",'Mapa final'!#REF!),"")</f>
        <v>#REF!</v>
      </c>
      <c r="AK10" s="300"/>
      <c r="AL10" s="300" t="e">
        <f>IF(AND('Mapa final'!#REF!="Muy Alta",'Mapa final'!#REF!="Catastrófico"),CONCATENATE("R",'Mapa final'!#REF!),"")</f>
        <v>#REF!</v>
      </c>
      <c r="AM10" s="301"/>
      <c r="AN10" s="75"/>
      <c r="AO10" s="246"/>
      <c r="AP10" s="247"/>
      <c r="AQ10" s="247"/>
      <c r="AR10" s="247"/>
      <c r="AS10" s="247"/>
      <c r="AT10" s="248"/>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41"/>
      <c r="C11" s="241"/>
      <c r="D11" s="242"/>
      <c r="E11" s="282"/>
      <c r="F11" s="283"/>
      <c r="G11" s="283"/>
      <c r="H11" s="283"/>
      <c r="I11" s="284"/>
      <c r="J11" s="292"/>
      <c r="K11" s="288"/>
      <c r="L11" s="288"/>
      <c r="M11" s="288"/>
      <c r="N11" s="288"/>
      <c r="O11" s="289"/>
      <c r="P11" s="292"/>
      <c r="Q11" s="288"/>
      <c r="R11" s="288"/>
      <c r="S11" s="288"/>
      <c r="T11" s="288"/>
      <c r="U11" s="289"/>
      <c r="V11" s="292"/>
      <c r="W11" s="288"/>
      <c r="X11" s="288"/>
      <c r="Y11" s="288"/>
      <c r="Z11" s="288"/>
      <c r="AA11" s="289"/>
      <c r="AB11" s="292"/>
      <c r="AC11" s="288"/>
      <c r="AD11" s="288"/>
      <c r="AE11" s="288"/>
      <c r="AF11" s="288"/>
      <c r="AG11" s="289"/>
      <c r="AH11" s="299"/>
      <c r="AI11" s="300"/>
      <c r="AJ11" s="300"/>
      <c r="AK11" s="300"/>
      <c r="AL11" s="300"/>
      <c r="AM11" s="301"/>
      <c r="AN11" s="75"/>
      <c r="AO11" s="246"/>
      <c r="AP11" s="247"/>
      <c r="AQ11" s="247"/>
      <c r="AR11" s="247"/>
      <c r="AS11" s="247"/>
      <c r="AT11" s="248"/>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41"/>
      <c r="C12" s="241"/>
      <c r="D12" s="242"/>
      <c r="E12" s="282"/>
      <c r="F12" s="283"/>
      <c r="G12" s="283"/>
      <c r="H12" s="283"/>
      <c r="I12" s="284"/>
      <c r="J12" s="292" t="e">
        <f>IF(AND('Mapa final'!#REF!="Muy Alta",'Mapa final'!#REF!="Leve"),CONCATENATE("R",'Mapa final'!#REF!),"")</f>
        <v>#REF!</v>
      </c>
      <c r="K12" s="288"/>
      <c r="L12" s="288" t="str">
        <f>IF(AND('Mapa final'!$L$17="Muy Alta",'Mapa final'!$P$17="Leve"),CONCATENATE("R",'Mapa final'!$A$17),"")</f>
        <v/>
      </c>
      <c r="M12" s="288"/>
      <c r="N12" s="288" t="str">
        <f>IF(AND('Mapa final'!$L$19="Muy Alta",'Mapa final'!$P$19="Leve"),CONCATENATE("R",'Mapa final'!$A$19),"")</f>
        <v/>
      </c>
      <c r="O12" s="289"/>
      <c r="P12" s="292" t="e">
        <f>IF(AND('Mapa final'!#REF!="Muy Alta",'Mapa final'!#REF!="Menor"),CONCATENATE("R",'Mapa final'!#REF!),"")</f>
        <v>#REF!</v>
      </c>
      <c r="Q12" s="288"/>
      <c r="R12" s="288" t="str">
        <f>IF(AND('Mapa final'!$L$17="Muy Alta",'Mapa final'!$P$17="Menor"),CONCATENATE("R",'Mapa final'!$A$17),"")</f>
        <v/>
      </c>
      <c r="S12" s="288"/>
      <c r="T12" s="288" t="str">
        <f>IF(AND('Mapa final'!$L$19="Muy Alta",'Mapa final'!$P$19="Menor"),CONCATENATE("R",'Mapa final'!$A$19),"")</f>
        <v/>
      </c>
      <c r="U12" s="289"/>
      <c r="V12" s="292" t="e">
        <f>IF(AND('Mapa final'!#REF!="Muy Alta",'Mapa final'!#REF!="Moderado"),CONCATENATE("R",'Mapa final'!#REF!),"")</f>
        <v>#REF!</v>
      </c>
      <c r="W12" s="288"/>
      <c r="X12" s="288" t="str">
        <f>IF(AND('Mapa final'!$L$17="Muy Alta",'Mapa final'!$P$17="Moderado"),CONCATENATE("R",'Mapa final'!$A$17),"")</f>
        <v/>
      </c>
      <c r="Y12" s="288"/>
      <c r="Z12" s="288" t="str">
        <f>IF(AND('Mapa final'!$L$19="Muy Alta",'Mapa final'!$P$19="Moderado"),CONCATENATE("R",'Mapa final'!$A$19),"")</f>
        <v/>
      </c>
      <c r="AA12" s="289"/>
      <c r="AB12" s="292" t="e">
        <f>IF(AND('Mapa final'!#REF!="Muy Alta",'Mapa final'!#REF!="Mayor"),CONCATENATE("R",'Mapa final'!#REF!),"")</f>
        <v>#REF!</v>
      </c>
      <c r="AC12" s="288"/>
      <c r="AD12" s="288" t="str">
        <f>IF(AND('Mapa final'!$L$17="Muy Alta",'Mapa final'!$P$17="Mayor"),CONCATENATE("R",'Mapa final'!$A$17),"")</f>
        <v/>
      </c>
      <c r="AE12" s="288"/>
      <c r="AF12" s="288" t="str">
        <f>IF(AND('Mapa final'!$L$19="Muy Alta",'Mapa final'!$P$19="Mayor"),CONCATENATE("R",'Mapa final'!$A$19),"")</f>
        <v/>
      </c>
      <c r="AG12" s="289"/>
      <c r="AH12" s="299" t="e">
        <f>IF(AND('Mapa final'!#REF!="Muy Alta",'Mapa final'!#REF!="Catastrófico"),CONCATENATE("R",'Mapa final'!#REF!),"")</f>
        <v>#REF!</v>
      </c>
      <c r="AI12" s="300"/>
      <c r="AJ12" s="300" t="str">
        <f>IF(AND('Mapa final'!$L$17="Muy Alta",'Mapa final'!$P$17="Catastrófico"),CONCATENATE("R",'Mapa final'!$A$17),"")</f>
        <v/>
      </c>
      <c r="AK12" s="300"/>
      <c r="AL12" s="300" t="str">
        <f>IF(AND('Mapa final'!$L$19="Muy Alta",'Mapa final'!$P$19="Catastrófico"),CONCATENATE("R",'Mapa final'!$A$19),"")</f>
        <v/>
      </c>
      <c r="AM12" s="301"/>
      <c r="AN12" s="75"/>
      <c r="AO12" s="246"/>
      <c r="AP12" s="247"/>
      <c r="AQ12" s="247"/>
      <c r="AR12" s="247"/>
      <c r="AS12" s="247"/>
      <c r="AT12" s="248"/>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41"/>
      <c r="C13" s="241"/>
      <c r="D13" s="242"/>
      <c r="E13" s="285"/>
      <c r="F13" s="286"/>
      <c r="G13" s="286"/>
      <c r="H13" s="286"/>
      <c r="I13" s="287"/>
      <c r="J13" s="292"/>
      <c r="K13" s="288"/>
      <c r="L13" s="288"/>
      <c r="M13" s="288"/>
      <c r="N13" s="288"/>
      <c r="O13" s="289"/>
      <c r="P13" s="292"/>
      <c r="Q13" s="288"/>
      <c r="R13" s="288"/>
      <c r="S13" s="288"/>
      <c r="T13" s="288"/>
      <c r="U13" s="289"/>
      <c r="V13" s="292"/>
      <c r="W13" s="288"/>
      <c r="X13" s="288"/>
      <c r="Y13" s="288"/>
      <c r="Z13" s="288"/>
      <c r="AA13" s="289"/>
      <c r="AB13" s="292"/>
      <c r="AC13" s="288"/>
      <c r="AD13" s="288"/>
      <c r="AE13" s="288"/>
      <c r="AF13" s="288"/>
      <c r="AG13" s="289"/>
      <c r="AH13" s="302"/>
      <c r="AI13" s="303"/>
      <c r="AJ13" s="303"/>
      <c r="AK13" s="303"/>
      <c r="AL13" s="303"/>
      <c r="AM13" s="304"/>
      <c r="AN13" s="75"/>
      <c r="AO13" s="249"/>
      <c r="AP13" s="250"/>
      <c r="AQ13" s="250"/>
      <c r="AR13" s="250"/>
      <c r="AS13" s="250"/>
      <c r="AT13" s="251"/>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41"/>
      <c r="C14" s="241"/>
      <c r="D14" s="242"/>
      <c r="E14" s="279" t="s">
        <v>114</v>
      </c>
      <c r="F14" s="280"/>
      <c r="G14" s="280"/>
      <c r="H14" s="280"/>
      <c r="I14" s="280"/>
      <c r="J14" s="314" t="e">
        <f>IF(AND('Mapa final'!#REF!="Alta",'Mapa final'!#REF!="Leve"),CONCATENATE("R",'Mapa final'!#REF!),"")</f>
        <v>#REF!</v>
      </c>
      <c r="K14" s="315"/>
      <c r="L14" s="315" t="str">
        <f>IF(AND('Mapa final'!$L$11="Alta",'Mapa final'!$P$11="Leve"),CONCATENATE("R",'Mapa final'!$A$11),"")</f>
        <v/>
      </c>
      <c r="M14" s="315"/>
      <c r="N14" s="315" t="e">
        <f>IF(AND('Mapa final'!#REF!="Alta",'Mapa final'!#REF!="Leve"),CONCATENATE("R",'Mapa final'!#REF!),"")</f>
        <v>#REF!</v>
      </c>
      <c r="O14" s="316"/>
      <c r="P14" s="314" t="e">
        <f>IF(AND('Mapa final'!#REF!="Alta",'Mapa final'!#REF!="Menor"),CONCATENATE("R",'Mapa final'!#REF!),"")</f>
        <v>#REF!</v>
      </c>
      <c r="Q14" s="315"/>
      <c r="R14" s="315" t="str">
        <f>IF(AND('Mapa final'!$L$11="Alta",'Mapa final'!$P$11="Menor"),CONCATENATE("R",'Mapa final'!$A$11),"")</f>
        <v/>
      </c>
      <c r="S14" s="315"/>
      <c r="T14" s="315" t="e">
        <f>IF(AND('Mapa final'!#REF!="Alta",'Mapa final'!#REF!="Menor"),CONCATENATE("R",'Mapa final'!#REF!),"")</f>
        <v>#REF!</v>
      </c>
      <c r="U14" s="316"/>
      <c r="V14" s="290" t="e">
        <f>IF(AND('Mapa final'!#REF!="Alta",'Mapa final'!#REF!="Moderado"),CONCATENATE("R",'Mapa final'!#REF!),"")</f>
        <v>#REF!</v>
      </c>
      <c r="W14" s="291"/>
      <c r="X14" s="291" t="str">
        <f>IF(AND('Mapa final'!$L$11="Alta",'Mapa final'!$P$11="Moderado"),CONCATENATE("R",'Mapa final'!$A$11),"")</f>
        <v/>
      </c>
      <c r="Y14" s="291"/>
      <c r="Z14" s="291" t="e">
        <f>IF(AND('Mapa final'!#REF!="Alta",'Mapa final'!#REF!="Moderado"),CONCATENATE("R",'Mapa final'!#REF!),"")</f>
        <v>#REF!</v>
      </c>
      <c r="AA14" s="293"/>
      <c r="AB14" s="290" t="e">
        <f>IF(AND('Mapa final'!#REF!="Alta",'Mapa final'!#REF!="Mayor"),CONCATENATE("R",'Mapa final'!#REF!),"")</f>
        <v>#REF!</v>
      </c>
      <c r="AC14" s="291"/>
      <c r="AD14" s="291" t="str">
        <f>IF(AND('Mapa final'!$L$11="Alta",'Mapa final'!$P$11="Mayor"),CONCATENATE("R",'Mapa final'!$A$11),"")</f>
        <v/>
      </c>
      <c r="AE14" s="291"/>
      <c r="AF14" s="291" t="e">
        <f>IF(AND('Mapa final'!#REF!="Alta",'Mapa final'!#REF!="Mayor"),CONCATENATE("R",'Mapa final'!#REF!),"")</f>
        <v>#REF!</v>
      </c>
      <c r="AG14" s="293"/>
      <c r="AH14" s="305" t="e">
        <f>IF(AND('Mapa final'!#REF!="Alta",'Mapa final'!#REF!="Catastrófico"),CONCATENATE("R",'Mapa final'!#REF!),"")</f>
        <v>#REF!</v>
      </c>
      <c r="AI14" s="306"/>
      <c r="AJ14" s="306" t="str">
        <f>IF(AND('Mapa final'!$L$11="Alta",'Mapa final'!$P$11="Catastrófico"),CONCATENATE("R",'Mapa final'!$A$11),"")</f>
        <v/>
      </c>
      <c r="AK14" s="306"/>
      <c r="AL14" s="306" t="e">
        <f>IF(AND('Mapa final'!#REF!="Alta",'Mapa final'!#REF!="Catastrófico"),CONCATENATE("R",'Mapa final'!#REF!),"")</f>
        <v>#REF!</v>
      </c>
      <c r="AM14" s="307"/>
      <c r="AN14" s="75"/>
      <c r="AO14" s="252" t="s">
        <v>79</v>
      </c>
      <c r="AP14" s="253"/>
      <c r="AQ14" s="253"/>
      <c r="AR14" s="253"/>
      <c r="AS14" s="253"/>
      <c r="AT14" s="254"/>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41"/>
      <c r="C15" s="241"/>
      <c r="D15" s="242"/>
      <c r="E15" s="282"/>
      <c r="F15" s="283"/>
      <c r="G15" s="283"/>
      <c r="H15" s="283"/>
      <c r="I15" s="283"/>
      <c r="J15" s="308"/>
      <c r="K15" s="309"/>
      <c r="L15" s="309"/>
      <c r="M15" s="309"/>
      <c r="N15" s="309"/>
      <c r="O15" s="310"/>
      <c r="P15" s="308"/>
      <c r="Q15" s="309"/>
      <c r="R15" s="309"/>
      <c r="S15" s="309"/>
      <c r="T15" s="309"/>
      <c r="U15" s="310"/>
      <c r="V15" s="292"/>
      <c r="W15" s="288"/>
      <c r="X15" s="288"/>
      <c r="Y15" s="288"/>
      <c r="Z15" s="288"/>
      <c r="AA15" s="289"/>
      <c r="AB15" s="292"/>
      <c r="AC15" s="288"/>
      <c r="AD15" s="288"/>
      <c r="AE15" s="288"/>
      <c r="AF15" s="288"/>
      <c r="AG15" s="289"/>
      <c r="AH15" s="299"/>
      <c r="AI15" s="300"/>
      <c r="AJ15" s="300"/>
      <c r="AK15" s="300"/>
      <c r="AL15" s="300"/>
      <c r="AM15" s="301"/>
      <c r="AN15" s="75"/>
      <c r="AO15" s="255"/>
      <c r="AP15" s="256"/>
      <c r="AQ15" s="256"/>
      <c r="AR15" s="256"/>
      <c r="AS15" s="256"/>
      <c r="AT15" s="257"/>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41"/>
      <c r="C16" s="241"/>
      <c r="D16" s="242"/>
      <c r="E16" s="282"/>
      <c r="F16" s="283"/>
      <c r="G16" s="283"/>
      <c r="H16" s="283"/>
      <c r="I16" s="283"/>
      <c r="J16" s="308" t="e">
        <f>IF(AND('Mapa final'!#REF!="Alta",'Mapa final'!#REF!="Leve"),CONCATENATE("R",'Mapa final'!#REF!),"")</f>
        <v>#REF!</v>
      </c>
      <c r="K16" s="309"/>
      <c r="L16" s="309" t="e">
        <f>IF(AND('Mapa final'!#REF!="Alta",'Mapa final'!#REF!="Leve"),CONCATENATE("R",'Mapa final'!#REF!),"")</f>
        <v>#REF!</v>
      </c>
      <c r="M16" s="309"/>
      <c r="N16" s="309" t="e">
        <f>IF(AND('Mapa final'!#REF!="Alta",'Mapa final'!#REF!="Leve"),CONCATENATE("R",'Mapa final'!#REF!),"")</f>
        <v>#REF!</v>
      </c>
      <c r="O16" s="310"/>
      <c r="P16" s="308" t="e">
        <f>IF(AND('Mapa final'!#REF!="Alta",'Mapa final'!#REF!="Menor"),CONCATENATE("R",'Mapa final'!#REF!),"")</f>
        <v>#REF!</v>
      </c>
      <c r="Q16" s="309"/>
      <c r="R16" s="309" t="e">
        <f>IF(AND('Mapa final'!#REF!="Alta",'Mapa final'!#REF!="Menor"),CONCATENATE("R",'Mapa final'!#REF!),"")</f>
        <v>#REF!</v>
      </c>
      <c r="S16" s="309"/>
      <c r="T16" s="309" t="e">
        <f>IF(AND('Mapa final'!#REF!="Alta",'Mapa final'!#REF!="Menor"),CONCATENATE("R",'Mapa final'!#REF!),"")</f>
        <v>#REF!</v>
      </c>
      <c r="U16" s="310"/>
      <c r="V16" s="292" t="e">
        <f>IF(AND('Mapa final'!#REF!="Alta",'Mapa final'!#REF!="Moderado"),CONCATENATE("R",'Mapa final'!#REF!),"")</f>
        <v>#REF!</v>
      </c>
      <c r="W16" s="288"/>
      <c r="X16" s="288" t="e">
        <f>IF(AND('Mapa final'!#REF!="Alta",'Mapa final'!#REF!="Moderado"),CONCATENATE("R",'Mapa final'!#REF!),"")</f>
        <v>#REF!</v>
      </c>
      <c r="Y16" s="288"/>
      <c r="Z16" s="288" t="e">
        <f>IF(AND('Mapa final'!#REF!="Alta",'Mapa final'!#REF!="Moderado"),CONCATENATE("R",'Mapa final'!#REF!),"")</f>
        <v>#REF!</v>
      </c>
      <c r="AA16" s="289"/>
      <c r="AB16" s="292" t="e">
        <f>IF(AND('Mapa final'!#REF!="Alta",'Mapa final'!#REF!="Mayor"),CONCATENATE("R",'Mapa final'!#REF!),"")</f>
        <v>#REF!</v>
      </c>
      <c r="AC16" s="288"/>
      <c r="AD16" s="288" t="e">
        <f>IF(AND('Mapa final'!#REF!="Alta",'Mapa final'!#REF!="Mayor"),CONCATENATE("R",'Mapa final'!#REF!),"")</f>
        <v>#REF!</v>
      </c>
      <c r="AE16" s="288"/>
      <c r="AF16" s="288" t="e">
        <f>IF(AND('Mapa final'!#REF!="Alta",'Mapa final'!#REF!="Mayor"),CONCATENATE("R",'Mapa final'!#REF!),"")</f>
        <v>#REF!</v>
      </c>
      <c r="AG16" s="289"/>
      <c r="AH16" s="299" t="e">
        <f>IF(AND('Mapa final'!#REF!="Alta",'Mapa final'!#REF!="Catastrófico"),CONCATENATE("R",'Mapa final'!#REF!),"")</f>
        <v>#REF!</v>
      </c>
      <c r="AI16" s="300"/>
      <c r="AJ16" s="300" t="e">
        <f>IF(AND('Mapa final'!#REF!="Alta",'Mapa final'!#REF!="Catastrófico"),CONCATENATE("R",'Mapa final'!#REF!),"")</f>
        <v>#REF!</v>
      </c>
      <c r="AK16" s="300"/>
      <c r="AL16" s="300" t="e">
        <f>IF(AND('Mapa final'!#REF!="Alta",'Mapa final'!#REF!="Catastrófico"),CONCATENATE("R",'Mapa final'!#REF!),"")</f>
        <v>#REF!</v>
      </c>
      <c r="AM16" s="301"/>
      <c r="AN16" s="75"/>
      <c r="AO16" s="255"/>
      <c r="AP16" s="256"/>
      <c r="AQ16" s="256"/>
      <c r="AR16" s="256"/>
      <c r="AS16" s="256"/>
      <c r="AT16" s="257"/>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41"/>
      <c r="C17" s="241"/>
      <c r="D17" s="242"/>
      <c r="E17" s="282"/>
      <c r="F17" s="283"/>
      <c r="G17" s="283"/>
      <c r="H17" s="283"/>
      <c r="I17" s="283"/>
      <c r="J17" s="308"/>
      <c r="K17" s="309"/>
      <c r="L17" s="309"/>
      <c r="M17" s="309"/>
      <c r="N17" s="309"/>
      <c r="O17" s="310"/>
      <c r="P17" s="308"/>
      <c r="Q17" s="309"/>
      <c r="R17" s="309"/>
      <c r="S17" s="309"/>
      <c r="T17" s="309"/>
      <c r="U17" s="310"/>
      <c r="V17" s="292"/>
      <c r="W17" s="288"/>
      <c r="X17" s="288"/>
      <c r="Y17" s="288"/>
      <c r="Z17" s="288"/>
      <c r="AA17" s="289"/>
      <c r="AB17" s="292"/>
      <c r="AC17" s="288"/>
      <c r="AD17" s="288"/>
      <c r="AE17" s="288"/>
      <c r="AF17" s="288"/>
      <c r="AG17" s="289"/>
      <c r="AH17" s="299"/>
      <c r="AI17" s="300"/>
      <c r="AJ17" s="300"/>
      <c r="AK17" s="300"/>
      <c r="AL17" s="300"/>
      <c r="AM17" s="301"/>
      <c r="AN17" s="75"/>
      <c r="AO17" s="255"/>
      <c r="AP17" s="256"/>
      <c r="AQ17" s="256"/>
      <c r="AR17" s="256"/>
      <c r="AS17" s="256"/>
      <c r="AT17" s="257"/>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41"/>
      <c r="C18" s="241"/>
      <c r="D18" s="242"/>
      <c r="E18" s="282"/>
      <c r="F18" s="283"/>
      <c r="G18" s="283"/>
      <c r="H18" s="283"/>
      <c r="I18" s="283"/>
      <c r="J18" s="308" t="e">
        <f>IF(AND('Mapa final'!#REF!="Alta",'Mapa final'!#REF!="Leve"),CONCATENATE("R",'Mapa final'!#REF!),"")</f>
        <v>#REF!</v>
      </c>
      <c r="K18" s="309"/>
      <c r="L18" s="309" t="e">
        <f>IF(AND('Mapa final'!#REF!="Alta",'Mapa final'!#REF!="Leve"),CONCATENATE("R",'Mapa final'!#REF!),"")</f>
        <v>#REF!</v>
      </c>
      <c r="M18" s="309"/>
      <c r="N18" s="309" t="e">
        <f>IF(AND('Mapa final'!#REF!="Alta",'Mapa final'!#REF!="Leve"),CONCATENATE("R",'Mapa final'!#REF!),"")</f>
        <v>#REF!</v>
      </c>
      <c r="O18" s="310"/>
      <c r="P18" s="308" t="e">
        <f>IF(AND('Mapa final'!#REF!="Alta",'Mapa final'!#REF!="Menor"),CONCATENATE("R",'Mapa final'!#REF!),"")</f>
        <v>#REF!</v>
      </c>
      <c r="Q18" s="309"/>
      <c r="R18" s="309" t="e">
        <f>IF(AND('Mapa final'!#REF!="Alta",'Mapa final'!#REF!="Menor"),CONCATENATE("R",'Mapa final'!#REF!),"")</f>
        <v>#REF!</v>
      </c>
      <c r="S18" s="309"/>
      <c r="T18" s="309" t="e">
        <f>IF(AND('Mapa final'!#REF!="Alta",'Mapa final'!#REF!="Menor"),CONCATENATE("R",'Mapa final'!#REF!),"")</f>
        <v>#REF!</v>
      </c>
      <c r="U18" s="310"/>
      <c r="V18" s="292" t="e">
        <f>IF(AND('Mapa final'!#REF!="Alta",'Mapa final'!#REF!="Moderado"),CONCATENATE("R",'Mapa final'!#REF!),"")</f>
        <v>#REF!</v>
      </c>
      <c r="W18" s="288"/>
      <c r="X18" s="288" t="e">
        <f>IF(AND('Mapa final'!#REF!="Alta",'Mapa final'!#REF!="Moderado"),CONCATENATE("R",'Mapa final'!#REF!),"")</f>
        <v>#REF!</v>
      </c>
      <c r="Y18" s="288"/>
      <c r="Z18" s="288" t="e">
        <f>IF(AND('Mapa final'!#REF!="Alta",'Mapa final'!#REF!="Moderado"),CONCATENATE("R",'Mapa final'!#REF!),"")</f>
        <v>#REF!</v>
      </c>
      <c r="AA18" s="289"/>
      <c r="AB18" s="292" t="e">
        <f>IF(AND('Mapa final'!#REF!="Alta",'Mapa final'!#REF!="Mayor"),CONCATENATE("R",'Mapa final'!#REF!),"")</f>
        <v>#REF!</v>
      </c>
      <c r="AC18" s="288"/>
      <c r="AD18" s="288" t="e">
        <f>IF(AND('Mapa final'!#REF!="Alta",'Mapa final'!#REF!="Mayor"),CONCATENATE("R",'Mapa final'!#REF!),"")</f>
        <v>#REF!</v>
      </c>
      <c r="AE18" s="288"/>
      <c r="AF18" s="288" t="e">
        <f>IF(AND('Mapa final'!#REF!="Alta",'Mapa final'!#REF!="Mayor"),CONCATENATE("R",'Mapa final'!#REF!),"")</f>
        <v>#REF!</v>
      </c>
      <c r="AG18" s="289"/>
      <c r="AH18" s="299" t="e">
        <f>IF(AND('Mapa final'!#REF!="Alta",'Mapa final'!#REF!="Catastrófico"),CONCATENATE("R",'Mapa final'!#REF!),"")</f>
        <v>#REF!</v>
      </c>
      <c r="AI18" s="300"/>
      <c r="AJ18" s="300" t="e">
        <f>IF(AND('Mapa final'!#REF!="Alta",'Mapa final'!#REF!="Catastrófico"),CONCATENATE("R",'Mapa final'!#REF!),"")</f>
        <v>#REF!</v>
      </c>
      <c r="AK18" s="300"/>
      <c r="AL18" s="300" t="e">
        <f>IF(AND('Mapa final'!#REF!="Alta",'Mapa final'!#REF!="Catastrófico"),CONCATENATE("R",'Mapa final'!#REF!),"")</f>
        <v>#REF!</v>
      </c>
      <c r="AM18" s="301"/>
      <c r="AN18" s="75"/>
      <c r="AO18" s="255"/>
      <c r="AP18" s="256"/>
      <c r="AQ18" s="256"/>
      <c r="AR18" s="256"/>
      <c r="AS18" s="256"/>
      <c r="AT18" s="257"/>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41"/>
      <c r="C19" s="241"/>
      <c r="D19" s="242"/>
      <c r="E19" s="282"/>
      <c r="F19" s="283"/>
      <c r="G19" s="283"/>
      <c r="H19" s="283"/>
      <c r="I19" s="283"/>
      <c r="J19" s="308"/>
      <c r="K19" s="309"/>
      <c r="L19" s="309"/>
      <c r="M19" s="309"/>
      <c r="N19" s="309"/>
      <c r="O19" s="310"/>
      <c r="P19" s="308"/>
      <c r="Q19" s="309"/>
      <c r="R19" s="309"/>
      <c r="S19" s="309"/>
      <c r="T19" s="309"/>
      <c r="U19" s="310"/>
      <c r="V19" s="292"/>
      <c r="W19" s="288"/>
      <c r="X19" s="288"/>
      <c r="Y19" s="288"/>
      <c r="Z19" s="288"/>
      <c r="AA19" s="289"/>
      <c r="AB19" s="292"/>
      <c r="AC19" s="288"/>
      <c r="AD19" s="288"/>
      <c r="AE19" s="288"/>
      <c r="AF19" s="288"/>
      <c r="AG19" s="289"/>
      <c r="AH19" s="299"/>
      <c r="AI19" s="300"/>
      <c r="AJ19" s="300"/>
      <c r="AK19" s="300"/>
      <c r="AL19" s="300"/>
      <c r="AM19" s="301"/>
      <c r="AN19" s="75"/>
      <c r="AO19" s="255"/>
      <c r="AP19" s="256"/>
      <c r="AQ19" s="256"/>
      <c r="AR19" s="256"/>
      <c r="AS19" s="256"/>
      <c r="AT19" s="257"/>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41"/>
      <c r="C20" s="241"/>
      <c r="D20" s="242"/>
      <c r="E20" s="282"/>
      <c r="F20" s="283"/>
      <c r="G20" s="283"/>
      <c r="H20" s="283"/>
      <c r="I20" s="283"/>
      <c r="J20" s="308" t="e">
        <f>IF(AND('Mapa final'!#REF!="Alta",'Mapa final'!#REF!="Leve"),CONCATENATE("R",'Mapa final'!#REF!),"")</f>
        <v>#REF!</v>
      </c>
      <c r="K20" s="309"/>
      <c r="L20" s="309" t="str">
        <f>IF(AND('Mapa final'!$L$17="Alta",'Mapa final'!$P$17="Leve"),CONCATENATE("R",'Mapa final'!$A$17),"")</f>
        <v/>
      </c>
      <c r="M20" s="309"/>
      <c r="N20" s="309" t="str">
        <f>IF(AND('Mapa final'!$L$19="Alta",'Mapa final'!$P$19="Leve"),CONCATENATE("R",'Mapa final'!$A$19),"")</f>
        <v/>
      </c>
      <c r="O20" s="310"/>
      <c r="P20" s="308" t="e">
        <f>IF(AND('Mapa final'!#REF!="Alta",'Mapa final'!#REF!="Menor"),CONCATENATE("R",'Mapa final'!#REF!),"")</f>
        <v>#REF!</v>
      </c>
      <c r="Q20" s="309"/>
      <c r="R20" s="309" t="str">
        <f>IF(AND('Mapa final'!$L$17="Alta",'Mapa final'!$P$17="Menor"),CONCATENATE("R",'Mapa final'!$A$17),"")</f>
        <v/>
      </c>
      <c r="S20" s="309"/>
      <c r="T20" s="309" t="str">
        <f>IF(AND('Mapa final'!$L$19="Alta",'Mapa final'!$P$19="Menor"),CONCATENATE("R",'Mapa final'!$A$19),"")</f>
        <v/>
      </c>
      <c r="U20" s="310"/>
      <c r="V20" s="292" t="e">
        <f>IF(AND('Mapa final'!#REF!="Alta",'Mapa final'!#REF!="Moderado"),CONCATENATE("R",'Mapa final'!#REF!),"")</f>
        <v>#REF!</v>
      </c>
      <c r="W20" s="288"/>
      <c r="X20" s="288" t="str">
        <f>IF(AND('Mapa final'!$L$17="Alta",'Mapa final'!$P$17="Moderado"),CONCATENATE("R",'Mapa final'!$A$17),"")</f>
        <v/>
      </c>
      <c r="Y20" s="288"/>
      <c r="Z20" s="288" t="str">
        <f>IF(AND('Mapa final'!$L$19="Alta",'Mapa final'!$P$19="Moderado"),CONCATENATE("R",'Mapa final'!$A$19),"")</f>
        <v/>
      </c>
      <c r="AA20" s="289"/>
      <c r="AB20" s="292" t="e">
        <f>IF(AND('Mapa final'!#REF!="Alta",'Mapa final'!#REF!="Mayor"),CONCATENATE("R",'Mapa final'!#REF!),"")</f>
        <v>#REF!</v>
      </c>
      <c r="AC20" s="288"/>
      <c r="AD20" s="288" t="str">
        <f>IF(AND('Mapa final'!$L$17="Alta",'Mapa final'!$P$17="Mayor"),CONCATENATE("R",'Mapa final'!$A$17),"")</f>
        <v/>
      </c>
      <c r="AE20" s="288"/>
      <c r="AF20" s="288" t="str">
        <f>IF(AND('Mapa final'!$L$19="Alta",'Mapa final'!$P$19="Mayor"),CONCATENATE("R",'Mapa final'!$A$19),"")</f>
        <v/>
      </c>
      <c r="AG20" s="289"/>
      <c r="AH20" s="299" t="e">
        <f>IF(AND('Mapa final'!#REF!="Alta",'Mapa final'!#REF!="Catastrófico"),CONCATENATE("R",'Mapa final'!#REF!),"")</f>
        <v>#REF!</v>
      </c>
      <c r="AI20" s="300"/>
      <c r="AJ20" s="300" t="str">
        <f>IF(AND('Mapa final'!$L$17="Alta",'Mapa final'!$P$17="Catastrófico"),CONCATENATE("R",'Mapa final'!$A$17),"")</f>
        <v/>
      </c>
      <c r="AK20" s="300"/>
      <c r="AL20" s="300" t="str">
        <f>IF(AND('Mapa final'!$L$19="Alta",'Mapa final'!$P$19="Catastrófico"),CONCATENATE("R",'Mapa final'!$A$19),"")</f>
        <v/>
      </c>
      <c r="AM20" s="301"/>
      <c r="AN20" s="75"/>
      <c r="AO20" s="255"/>
      <c r="AP20" s="256"/>
      <c r="AQ20" s="256"/>
      <c r="AR20" s="256"/>
      <c r="AS20" s="256"/>
      <c r="AT20" s="257"/>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41"/>
      <c r="C21" s="241"/>
      <c r="D21" s="242"/>
      <c r="E21" s="285"/>
      <c r="F21" s="286"/>
      <c r="G21" s="286"/>
      <c r="H21" s="286"/>
      <c r="I21" s="286"/>
      <c r="J21" s="311"/>
      <c r="K21" s="312"/>
      <c r="L21" s="312"/>
      <c r="M21" s="312"/>
      <c r="N21" s="312"/>
      <c r="O21" s="313"/>
      <c r="P21" s="311"/>
      <c r="Q21" s="312"/>
      <c r="R21" s="312"/>
      <c r="S21" s="312"/>
      <c r="T21" s="312"/>
      <c r="U21" s="313"/>
      <c r="V21" s="296"/>
      <c r="W21" s="297"/>
      <c r="X21" s="297"/>
      <c r="Y21" s="297"/>
      <c r="Z21" s="297"/>
      <c r="AA21" s="298"/>
      <c r="AB21" s="296"/>
      <c r="AC21" s="297"/>
      <c r="AD21" s="297"/>
      <c r="AE21" s="297"/>
      <c r="AF21" s="297"/>
      <c r="AG21" s="298"/>
      <c r="AH21" s="302"/>
      <c r="AI21" s="303"/>
      <c r="AJ21" s="303"/>
      <c r="AK21" s="303"/>
      <c r="AL21" s="303"/>
      <c r="AM21" s="304"/>
      <c r="AN21" s="75"/>
      <c r="AO21" s="258"/>
      <c r="AP21" s="259"/>
      <c r="AQ21" s="259"/>
      <c r="AR21" s="259"/>
      <c r="AS21" s="259"/>
      <c r="AT21" s="260"/>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41"/>
      <c r="C22" s="241"/>
      <c r="D22" s="242"/>
      <c r="E22" s="279" t="s">
        <v>116</v>
      </c>
      <c r="F22" s="280"/>
      <c r="G22" s="280"/>
      <c r="H22" s="280"/>
      <c r="I22" s="281"/>
      <c r="J22" s="314" t="e">
        <f>IF(AND('Mapa final'!#REF!="Media",'Mapa final'!#REF!="Leve"),CONCATENATE("R",'Mapa final'!#REF!),"")</f>
        <v>#REF!</v>
      </c>
      <c r="K22" s="315"/>
      <c r="L22" s="315" t="str">
        <f>IF(AND('Mapa final'!$L$11="Media",'Mapa final'!$P$11="Leve"),CONCATENATE("R",'Mapa final'!$A$11),"")</f>
        <v/>
      </c>
      <c r="M22" s="315"/>
      <c r="N22" s="315" t="e">
        <f>IF(AND('Mapa final'!#REF!="Media",'Mapa final'!#REF!="Leve"),CONCATENATE("R",'Mapa final'!#REF!),"")</f>
        <v>#REF!</v>
      </c>
      <c r="O22" s="316"/>
      <c r="P22" s="314" t="e">
        <f>IF(AND('Mapa final'!#REF!="Media",'Mapa final'!#REF!="Menor"),CONCATENATE("R",'Mapa final'!#REF!),"")</f>
        <v>#REF!</v>
      </c>
      <c r="Q22" s="315"/>
      <c r="R22" s="315" t="str">
        <f>IF(AND('Mapa final'!$L$11="Media",'Mapa final'!$P$11="Menor"),CONCATENATE("R",'Mapa final'!$A$11),"")</f>
        <v>R1</v>
      </c>
      <c r="S22" s="315"/>
      <c r="T22" s="315" t="e">
        <f>IF(AND('Mapa final'!#REF!="Media",'Mapa final'!#REF!="Menor"),CONCATENATE("R",'Mapa final'!#REF!),"")</f>
        <v>#REF!</v>
      </c>
      <c r="U22" s="316"/>
      <c r="V22" s="314" t="e">
        <f>IF(AND('Mapa final'!#REF!="Media",'Mapa final'!#REF!="Moderado"),CONCATENATE("R",'Mapa final'!#REF!),"")</f>
        <v>#REF!</v>
      </c>
      <c r="W22" s="315"/>
      <c r="X22" s="315" t="str">
        <f>IF(AND('Mapa final'!$L$11="Media",'Mapa final'!$P$11="Moderado"),CONCATENATE("R",'Mapa final'!$A$11),"")</f>
        <v/>
      </c>
      <c r="Y22" s="315"/>
      <c r="Z22" s="315" t="e">
        <f>IF(AND('Mapa final'!#REF!="Media",'Mapa final'!#REF!="Moderado"),CONCATENATE("R",'Mapa final'!#REF!),"")</f>
        <v>#REF!</v>
      </c>
      <c r="AA22" s="316"/>
      <c r="AB22" s="290" t="e">
        <f>IF(AND('Mapa final'!#REF!="Media",'Mapa final'!#REF!="Mayor"),CONCATENATE("R",'Mapa final'!#REF!),"")</f>
        <v>#REF!</v>
      </c>
      <c r="AC22" s="291"/>
      <c r="AD22" s="291" t="str">
        <f>IF(AND('Mapa final'!$L$11="Media",'Mapa final'!$P$11="Mayor"),CONCATENATE("R",'Mapa final'!$A$11),"")</f>
        <v/>
      </c>
      <c r="AE22" s="291"/>
      <c r="AF22" s="291" t="e">
        <f>IF(AND('Mapa final'!#REF!="Media",'Mapa final'!#REF!="Mayor"),CONCATENATE("R",'Mapa final'!#REF!),"")</f>
        <v>#REF!</v>
      </c>
      <c r="AG22" s="293"/>
      <c r="AH22" s="305" t="e">
        <f>IF(AND('Mapa final'!#REF!="Media",'Mapa final'!#REF!="Catastrófico"),CONCATENATE("R",'Mapa final'!#REF!),"")</f>
        <v>#REF!</v>
      </c>
      <c r="AI22" s="306"/>
      <c r="AJ22" s="306" t="str">
        <f>IF(AND('Mapa final'!$L$11="Media",'Mapa final'!$P$11="Catastrófico"),CONCATENATE("R",'Mapa final'!$A$11),"")</f>
        <v/>
      </c>
      <c r="AK22" s="306"/>
      <c r="AL22" s="306" t="e">
        <f>IF(AND('Mapa final'!#REF!="Media",'Mapa final'!#REF!="Catastrófico"),CONCATENATE("R",'Mapa final'!#REF!),"")</f>
        <v>#REF!</v>
      </c>
      <c r="AM22" s="307"/>
      <c r="AN22" s="75"/>
      <c r="AO22" s="261" t="s">
        <v>80</v>
      </c>
      <c r="AP22" s="262"/>
      <c r="AQ22" s="262"/>
      <c r="AR22" s="262"/>
      <c r="AS22" s="262"/>
      <c r="AT22" s="263"/>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41"/>
      <c r="C23" s="241"/>
      <c r="D23" s="242"/>
      <c r="E23" s="282"/>
      <c r="F23" s="283"/>
      <c r="G23" s="283"/>
      <c r="H23" s="283"/>
      <c r="I23" s="284"/>
      <c r="J23" s="308"/>
      <c r="K23" s="309"/>
      <c r="L23" s="309"/>
      <c r="M23" s="309"/>
      <c r="N23" s="309"/>
      <c r="O23" s="310"/>
      <c r="P23" s="308"/>
      <c r="Q23" s="309"/>
      <c r="R23" s="309"/>
      <c r="S23" s="309"/>
      <c r="T23" s="309"/>
      <c r="U23" s="310"/>
      <c r="V23" s="308"/>
      <c r="W23" s="309"/>
      <c r="X23" s="309"/>
      <c r="Y23" s="309"/>
      <c r="Z23" s="309"/>
      <c r="AA23" s="310"/>
      <c r="AB23" s="292"/>
      <c r="AC23" s="288"/>
      <c r="AD23" s="288"/>
      <c r="AE23" s="288"/>
      <c r="AF23" s="288"/>
      <c r="AG23" s="289"/>
      <c r="AH23" s="299"/>
      <c r="AI23" s="300"/>
      <c r="AJ23" s="300"/>
      <c r="AK23" s="300"/>
      <c r="AL23" s="300"/>
      <c r="AM23" s="301"/>
      <c r="AN23" s="75"/>
      <c r="AO23" s="264"/>
      <c r="AP23" s="265"/>
      <c r="AQ23" s="265"/>
      <c r="AR23" s="265"/>
      <c r="AS23" s="265"/>
      <c r="AT23" s="266"/>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41"/>
      <c r="C24" s="241"/>
      <c r="D24" s="242"/>
      <c r="E24" s="282"/>
      <c r="F24" s="283"/>
      <c r="G24" s="283"/>
      <c r="H24" s="283"/>
      <c r="I24" s="284"/>
      <c r="J24" s="308" t="e">
        <f>IF(AND('Mapa final'!#REF!="Media",'Mapa final'!#REF!="Leve"),CONCATENATE("R",'Mapa final'!#REF!),"")</f>
        <v>#REF!</v>
      </c>
      <c r="K24" s="309"/>
      <c r="L24" s="309" t="e">
        <f>IF(AND('Mapa final'!#REF!="Media",'Mapa final'!#REF!="Leve"),CONCATENATE("R",'Mapa final'!#REF!),"")</f>
        <v>#REF!</v>
      </c>
      <c r="M24" s="309"/>
      <c r="N24" s="309" t="e">
        <f>IF(AND('Mapa final'!#REF!="Media",'Mapa final'!#REF!="Leve"),CONCATENATE("R",'Mapa final'!#REF!),"")</f>
        <v>#REF!</v>
      </c>
      <c r="O24" s="310"/>
      <c r="P24" s="308" t="e">
        <f>IF(AND('Mapa final'!#REF!="Media",'Mapa final'!#REF!="Menor"),CONCATENATE("R",'Mapa final'!#REF!),"")</f>
        <v>#REF!</v>
      </c>
      <c r="Q24" s="309"/>
      <c r="R24" s="309" t="e">
        <f>IF(AND('Mapa final'!#REF!="Media",'Mapa final'!#REF!="Menor"),CONCATENATE("R",'Mapa final'!#REF!),"")</f>
        <v>#REF!</v>
      </c>
      <c r="S24" s="309"/>
      <c r="T24" s="309" t="e">
        <f>IF(AND('Mapa final'!#REF!="Media",'Mapa final'!#REF!="Menor"),CONCATENATE("R",'Mapa final'!#REF!),"")</f>
        <v>#REF!</v>
      </c>
      <c r="U24" s="310"/>
      <c r="V24" s="308" t="e">
        <f>IF(AND('Mapa final'!#REF!="Media",'Mapa final'!#REF!="Moderado"),CONCATENATE("R",'Mapa final'!#REF!),"")</f>
        <v>#REF!</v>
      </c>
      <c r="W24" s="309"/>
      <c r="X24" s="309" t="e">
        <f>IF(AND('Mapa final'!#REF!="Media",'Mapa final'!#REF!="Moderado"),CONCATENATE("R",'Mapa final'!#REF!),"")</f>
        <v>#REF!</v>
      </c>
      <c r="Y24" s="309"/>
      <c r="Z24" s="309" t="e">
        <f>IF(AND('Mapa final'!#REF!="Media",'Mapa final'!#REF!="Moderado"),CONCATENATE("R",'Mapa final'!#REF!),"")</f>
        <v>#REF!</v>
      </c>
      <c r="AA24" s="310"/>
      <c r="AB24" s="292" t="e">
        <f>IF(AND('Mapa final'!#REF!="Media",'Mapa final'!#REF!="Mayor"),CONCATENATE("R",'Mapa final'!#REF!),"")</f>
        <v>#REF!</v>
      </c>
      <c r="AC24" s="288"/>
      <c r="AD24" s="288" t="e">
        <f>IF(AND('Mapa final'!#REF!="Media",'Mapa final'!#REF!="Mayor"),CONCATENATE("R",'Mapa final'!#REF!),"")</f>
        <v>#REF!</v>
      </c>
      <c r="AE24" s="288"/>
      <c r="AF24" s="288" t="e">
        <f>IF(AND('Mapa final'!#REF!="Media",'Mapa final'!#REF!="Mayor"),CONCATENATE("R",'Mapa final'!#REF!),"")</f>
        <v>#REF!</v>
      </c>
      <c r="AG24" s="289"/>
      <c r="AH24" s="299" t="e">
        <f>IF(AND('Mapa final'!#REF!="Media",'Mapa final'!#REF!="Catastrófico"),CONCATENATE("R",'Mapa final'!#REF!),"")</f>
        <v>#REF!</v>
      </c>
      <c r="AI24" s="300"/>
      <c r="AJ24" s="300" t="e">
        <f>IF(AND('Mapa final'!#REF!="Media",'Mapa final'!#REF!="Catastrófico"),CONCATENATE("R",'Mapa final'!#REF!),"")</f>
        <v>#REF!</v>
      </c>
      <c r="AK24" s="300"/>
      <c r="AL24" s="300" t="e">
        <f>IF(AND('Mapa final'!#REF!="Media",'Mapa final'!#REF!="Catastrófico"),CONCATENATE("R",'Mapa final'!#REF!),"")</f>
        <v>#REF!</v>
      </c>
      <c r="AM24" s="301"/>
      <c r="AN24" s="75"/>
      <c r="AO24" s="264"/>
      <c r="AP24" s="265"/>
      <c r="AQ24" s="265"/>
      <c r="AR24" s="265"/>
      <c r="AS24" s="265"/>
      <c r="AT24" s="266"/>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41"/>
      <c r="C25" s="241"/>
      <c r="D25" s="242"/>
      <c r="E25" s="282"/>
      <c r="F25" s="283"/>
      <c r="G25" s="283"/>
      <c r="H25" s="283"/>
      <c r="I25" s="284"/>
      <c r="J25" s="308"/>
      <c r="K25" s="309"/>
      <c r="L25" s="309"/>
      <c r="M25" s="309"/>
      <c r="N25" s="309"/>
      <c r="O25" s="310"/>
      <c r="P25" s="308"/>
      <c r="Q25" s="309"/>
      <c r="R25" s="309"/>
      <c r="S25" s="309"/>
      <c r="T25" s="309"/>
      <c r="U25" s="310"/>
      <c r="V25" s="308"/>
      <c r="W25" s="309"/>
      <c r="X25" s="309"/>
      <c r="Y25" s="309"/>
      <c r="Z25" s="309"/>
      <c r="AA25" s="310"/>
      <c r="AB25" s="292"/>
      <c r="AC25" s="288"/>
      <c r="AD25" s="288"/>
      <c r="AE25" s="288"/>
      <c r="AF25" s="288"/>
      <c r="AG25" s="289"/>
      <c r="AH25" s="299"/>
      <c r="AI25" s="300"/>
      <c r="AJ25" s="300"/>
      <c r="AK25" s="300"/>
      <c r="AL25" s="300"/>
      <c r="AM25" s="301"/>
      <c r="AN25" s="75"/>
      <c r="AO25" s="264"/>
      <c r="AP25" s="265"/>
      <c r="AQ25" s="265"/>
      <c r="AR25" s="265"/>
      <c r="AS25" s="265"/>
      <c r="AT25" s="266"/>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41"/>
      <c r="C26" s="241"/>
      <c r="D26" s="242"/>
      <c r="E26" s="282"/>
      <c r="F26" s="283"/>
      <c r="G26" s="283"/>
      <c r="H26" s="283"/>
      <c r="I26" s="284"/>
      <c r="J26" s="308" t="e">
        <f>IF(AND('Mapa final'!#REF!="Media",'Mapa final'!#REF!="Leve"),CONCATENATE("R",'Mapa final'!#REF!),"")</f>
        <v>#REF!</v>
      </c>
      <c r="K26" s="309"/>
      <c r="L26" s="309" t="e">
        <f>IF(AND('Mapa final'!#REF!="Media",'Mapa final'!#REF!="Leve"),CONCATENATE("R",'Mapa final'!#REF!),"")</f>
        <v>#REF!</v>
      </c>
      <c r="M26" s="309"/>
      <c r="N26" s="309" t="e">
        <f>IF(AND('Mapa final'!#REF!="Media",'Mapa final'!#REF!="Leve"),CONCATENATE("R",'Mapa final'!#REF!),"")</f>
        <v>#REF!</v>
      </c>
      <c r="O26" s="310"/>
      <c r="P26" s="308" t="e">
        <f>IF(AND('Mapa final'!#REF!="Media",'Mapa final'!#REF!="Menor"),CONCATENATE("R",'Mapa final'!#REF!),"")</f>
        <v>#REF!</v>
      </c>
      <c r="Q26" s="309"/>
      <c r="R26" s="309" t="e">
        <f>IF(AND('Mapa final'!#REF!="Media",'Mapa final'!#REF!="Menor"),CONCATENATE("R",'Mapa final'!#REF!),"")</f>
        <v>#REF!</v>
      </c>
      <c r="S26" s="309"/>
      <c r="T26" s="309" t="e">
        <f>IF(AND('Mapa final'!#REF!="Media",'Mapa final'!#REF!="Menor"),CONCATENATE("R",'Mapa final'!#REF!),"")</f>
        <v>#REF!</v>
      </c>
      <c r="U26" s="310"/>
      <c r="V26" s="308" t="e">
        <f>IF(AND('Mapa final'!#REF!="Media",'Mapa final'!#REF!="Moderado"),CONCATENATE("R",'Mapa final'!#REF!),"")</f>
        <v>#REF!</v>
      </c>
      <c r="W26" s="309"/>
      <c r="X26" s="309" t="e">
        <f>IF(AND('Mapa final'!#REF!="Media",'Mapa final'!#REF!="Moderado"),CONCATENATE("R",'Mapa final'!#REF!),"")</f>
        <v>#REF!</v>
      </c>
      <c r="Y26" s="309"/>
      <c r="Z26" s="309" t="e">
        <f>IF(AND('Mapa final'!#REF!="Media",'Mapa final'!#REF!="Moderado"),CONCATENATE("R",'Mapa final'!#REF!),"")</f>
        <v>#REF!</v>
      </c>
      <c r="AA26" s="310"/>
      <c r="AB26" s="292" t="e">
        <f>IF(AND('Mapa final'!#REF!="Media",'Mapa final'!#REF!="Mayor"),CONCATENATE("R",'Mapa final'!#REF!),"")</f>
        <v>#REF!</v>
      </c>
      <c r="AC26" s="288"/>
      <c r="AD26" s="288" t="e">
        <f>IF(AND('Mapa final'!#REF!="Media",'Mapa final'!#REF!="Mayor"),CONCATENATE("R",'Mapa final'!#REF!),"")</f>
        <v>#REF!</v>
      </c>
      <c r="AE26" s="288"/>
      <c r="AF26" s="288" t="e">
        <f>IF(AND('Mapa final'!#REF!="Media",'Mapa final'!#REF!="Mayor"),CONCATENATE("R",'Mapa final'!#REF!),"")</f>
        <v>#REF!</v>
      </c>
      <c r="AG26" s="289"/>
      <c r="AH26" s="299" t="e">
        <f>IF(AND('Mapa final'!#REF!="Media",'Mapa final'!#REF!="Catastrófico"),CONCATENATE("R",'Mapa final'!#REF!),"")</f>
        <v>#REF!</v>
      </c>
      <c r="AI26" s="300"/>
      <c r="AJ26" s="300" t="e">
        <f>IF(AND('Mapa final'!#REF!="Media",'Mapa final'!#REF!="Catastrófico"),CONCATENATE("R",'Mapa final'!#REF!),"")</f>
        <v>#REF!</v>
      </c>
      <c r="AK26" s="300"/>
      <c r="AL26" s="300" t="e">
        <f>IF(AND('Mapa final'!#REF!="Media",'Mapa final'!#REF!="Catastrófico"),CONCATENATE("R",'Mapa final'!#REF!),"")</f>
        <v>#REF!</v>
      </c>
      <c r="AM26" s="301"/>
      <c r="AN26" s="75"/>
      <c r="AO26" s="264"/>
      <c r="AP26" s="265"/>
      <c r="AQ26" s="265"/>
      <c r="AR26" s="265"/>
      <c r="AS26" s="265"/>
      <c r="AT26" s="266"/>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41"/>
      <c r="C27" s="241"/>
      <c r="D27" s="242"/>
      <c r="E27" s="282"/>
      <c r="F27" s="283"/>
      <c r="G27" s="283"/>
      <c r="H27" s="283"/>
      <c r="I27" s="284"/>
      <c r="J27" s="308"/>
      <c r="K27" s="309"/>
      <c r="L27" s="309"/>
      <c r="M27" s="309"/>
      <c r="N27" s="309"/>
      <c r="O27" s="310"/>
      <c r="P27" s="308"/>
      <c r="Q27" s="309"/>
      <c r="R27" s="309"/>
      <c r="S27" s="309"/>
      <c r="T27" s="309"/>
      <c r="U27" s="310"/>
      <c r="V27" s="308"/>
      <c r="W27" s="309"/>
      <c r="X27" s="309"/>
      <c r="Y27" s="309"/>
      <c r="Z27" s="309"/>
      <c r="AA27" s="310"/>
      <c r="AB27" s="292"/>
      <c r="AC27" s="288"/>
      <c r="AD27" s="288"/>
      <c r="AE27" s="288"/>
      <c r="AF27" s="288"/>
      <c r="AG27" s="289"/>
      <c r="AH27" s="299"/>
      <c r="AI27" s="300"/>
      <c r="AJ27" s="300"/>
      <c r="AK27" s="300"/>
      <c r="AL27" s="300"/>
      <c r="AM27" s="301"/>
      <c r="AN27" s="75"/>
      <c r="AO27" s="264"/>
      <c r="AP27" s="265"/>
      <c r="AQ27" s="265"/>
      <c r="AR27" s="265"/>
      <c r="AS27" s="265"/>
      <c r="AT27" s="266"/>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41"/>
      <c r="C28" s="241"/>
      <c r="D28" s="242"/>
      <c r="E28" s="282"/>
      <c r="F28" s="283"/>
      <c r="G28" s="283"/>
      <c r="H28" s="283"/>
      <c r="I28" s="284"/>
      <c r="J28" s="308" t="e">
        <f>IF(AND('Mapa final'!#REF!="Media",'Mapa final'!#REF!="Leve"),CONCATENATE("R",'Mapa final'!#REF!),"")</f>
        <v>#REF!</v>
      </c>
      <c r="K28" s="309"/>
      <c r="L28" s="309" t="str">
        <f>IF(AND('Mapa final'!$L$17="Media",'Mapa final'!$P$17="Leve"),CONCATENATE("R",'Mapa final'!$A$17),"")</f>
        <v/>
      </c>
      <c r="M28" s="309"/>
      <c r="N28" s="309" t="str">
        <f>IF(AND('Mapa final'!$L$19="Media",'Mapa final'!$P$19="Leve"),CONCATENATE("R",'Mapa final'!$A$19),"")</f>
        <v/>
      </c>
      <c r="O28" s="310"/>
      <c r="P28" s="308" t="e">
        <f>IF(AND('Mapa final'!#REF!="Media",'Mapa final'!#REF!="Menor"),CONCATENATE("R",'Mapa final'!#REF!),"")</f>
        <v>#REF!</v>
      </c>
      <c r="Q28" s="309"/>
      <c r="R28" s="309" t="str">
        <f>IF(AND('Mapa final'!$L$17="Media",'Mapa final'!$P$17="Menor"),CONCATENATE("R",'Mapa final'!$A$17),"")</f>
        <v/>
      </c>
      <c r="S28" s="309"/>
      <c r="T28" s="309" t="str">
        <f>IF(AND('Mapa final'!$L$19="Media",'Mapa final'!$P$19="Menor"),CONCATENATE("R",'Mapa final'!$A$19),"")</f>
        <v/>
      </c>
      <c r="U28" s="310"/>
      <c r="V28" s="308" t="e">
        <f>IF(AND('Mapa final'!#REF!="Media",'Mapa final'!#REF!="Moderado"),CONCATENATE("R",'Mapa final'!#REF!),"")</f>
        <v>#REF!</v>
      </c>
      <c r="W28" s="309"/>
      <c r="X28" s="309" t="str">
        <f>IF(AND('Mapa final'!$L$17="Media",'Mapa final'!$P$17="Moderado"),CONCATENATE("R",'Mapa final'!$A$17),"")</f>
        <v/>
      </c>
      <c r="Y28" s="309"/>
      <c r="Z28" s="309" t="str">
        <f>IF(AND('Mapa final'!$L$19="Media",'Mapa final'!$P$19="Moderado"),CONCATENATE("R",'Mapa final'!$A$19),"")</f>
        <v/>
      </c>
      <c r="AA28" s="310"/>
      <c r="AB28" s="292" t="e">
        <f>IF(AND('Mapa final'!#REF!="Media",'Mapa final'!#REF!="Mayor"),CONCATENATE("R",'Mapa final'!#REF!),"")</f>
        <v>#REF!</v>
      </c>
      <c r="AC28" s="288"/>
      <c r="AD28" s="288" t="str">
        <f>IF(AND('Mapa final'!$L$17="Media",'Mapa final'!$P$17="Mayor"),CONCATENATE("R",'Mapa final'!$A$17),"")</f>
        <v/>
      </c>
      <c r="AE28" s="288"/>
      <c r="AF28" s="288" t="str">
        <f>IF(AND('Mapa final'!$L$19="Media",'Mapa final'!$P$19="Mayor"),CONCATENATE("R",'Mapa final'!$A$19),"")</f>
        <v/>
      </c>
      <c r="AG28" s="289"/>
      <c r="AH28" s="299" t="e">
        <f>IF(AND('Mapa final'!#REF!="Media",'Mapa final'!#REF!="Catastrófico"),CONCATENATE("R",'Mapa final'!#REF!),"")</f>
        <v>#REF!</v>
      </c>
      <c r="AI28" s="300"/>
      <c r="AJ28" s="300" t="str">
        <f>IF(AND('Mapa final'!$L$17="Media",'Mapa final'!$P$17="Catastrófico"),CONCATENATE("R",'Mapa final'!$A$17),"")</f>
        <v/>
      </c>
      <c r="AK28" s="300"/>
      <c r="AL28" s="300" t="str">
        <f>IF(AND('Mapa final'!$L$19="Media",'Mapa final'!$P$19="Catastrófico"),CONCATENATE("R",'Mapa final'!$A$19),"")</f>
        <v/>
      </c>
      <c r="AM28" s="301"/>
      <c r="AN28" s="75"/>
      <c r="AO28" s="264"/>
      <c r="AP28" s="265"/>
      <c r="AQ28" s="265"/>
      <c r="AR28" s="265"/>
      <c r="AS28" s="265"/>
      <c r="AT28" s="266"/>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41"/>
      <c r="C29" s="241"/>
      <c r="D29" s="242"/>
      <c r="E29" s="285"/>
      <c r="F29" s="286"/>
      <c r="G29" s="286"/>
      <c r="H29" s="286"/>
      <c r="I29" s="287"/>
      <c r="J29" s="308"/>
      <c r="K29" s="309"/>
      <c r="L29" s="309"/>
      <c r="M29" s="309"/>
      <c r="N29" s="309"/>
      <c r="O29" s="310"/>
      <c r="P29" s="311"/>
      <c r="Q29" s="312"/>
      <c r="R29" s="312"/>
      <c r="S29" s="312"/>
      <c r="T29" s="312"/>
      <c r="U29" s="313"/>
      <c r="V29" s="311"/>
      <c r="W29" s="312"/>
      <c r="X29" s="312"/>
      <c r="Y29" s="312"/>
      <c r="Z29" s="312"/>
      <c r="AA29" s="313"/>
      <c r="AB29" s="296"/>
      <c r="AC29" s="297"/>
      <c r="AD29" s="297"/>
      <c r="AE29" s="297"/>
      <c r="AF29" s="297"/>
      <c r="AG29" s="298"/>
      <c r="AH29" s="302"/>
      <c r="AI29" s="303"/>
      <c r="AJ29" s="303"/>
      <c r="AK29" s="303"/>
      <c r="AL29" s="303"/>
      <c r="AM29" s="304"/>
      <c r="AN29" s="75"/>
      <c r="AO29" s="267"/>
      <c r="AP29" s="268"/>
      <c r="AQ29" s="268"/>
      <c r="AR29" s="268"/>
      <c r="AS29" s="268"/>
      <c r="AT29" s="269"/>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41"/>
      <c r="C30" s="241"/>
      <c r="D30" s="242"/>
      <c r="E30" s="279" t="s">
        <v>113</v>
      </c>
      <c r="F30" s="280"/>
      <c r="G30" s="280"/>
      <c r="H30" s="280"/>
      <c r="I30" s="280"/>
      <c r="J30" s="323" t="e">
        <f>IF(AND('Mapa final'!#REF!="Baja",'Mapa final'!#REF!="Leve"),CONCATENATE("R",'Mapa final'!#REF!),"")</f>
        <v>#REF!</v>
      </c>
      <c r="K30" s="324"/>
      <c r="L30" s="324" t="str">
        <f>IF(AND('Mapa final'!$L$11="Baja",'Mapa final'!$P$11="Leve"),CONCATENATE("R",'Mapa final'!$A$11),"")</f>
        <v/>
      </c>
      <c r="M30" s="324"/>
      <c r="N30" s="324" t="e">
        <f>IF(AND('Mapa final'!#REF!="Baja",'Mapa final'!#REF!="Leve"),CONCATENATE("R",'Mapa final'!#REF!),"")</f>
        <v>#REF!</v>
      </c>
      <c r="O30" s="325"/>
      <c r="P30" s="315" t="e">
        <f>IF(AND('Mapa final'!#REF!="Baja",'Mapa final'!#REF!="Menor"),CONCATENATE("R",'Mapa final'!#REF!),"")</f>
        <v>#REF!</v>
      </c>
      <c r="Q30" s="315"/>
      <c r="R30" s="315" t="str">
        <f>IF(AND('Mapa final'!$L$11="Baja",'Mapa final'!$P$11="Menor"),CONCATENATE("R",'Mapa final'!$A$11),"")</f>
        <v/>
      </c>
      <c r="S30" s="315"/>
      <c r="T30" s="315" t="e">
        <f>IF(AND('Mapa final'!#REF!="Baja",'Mapa final'!#REF!="Menor"),CONCATENATE("R",'Mapa final'!#REF!),"")</f>
        <v>#REF!</v>
      </c>
      <c r="U30" s="316"/>
      <c r="V30" s="314" t="e">
        <f>IF(AND('Mapa final'!#REF!="Baja",'Mapa final'!#REF!="Moderado"),CONCATENATE("R",'Mapa final'!#REF!),"")</f>
        <v>#REF!</v>
      </c>
      <c r="W30" s="315"/>
      <c r="X30" s="315" t="str">
        <f>IF(AND('Mapa final'!$L$11="Baja",'Mapa final'!$P$11="Moderado"),CONCATENATE("R",'Mapa final'!$A$11),"")</f>
        <v/>
      </c>
      <c r="Y30" s="315"/>
      <c r="Z30" s="315" t="e">
        <f>IF(AND('Mapa final'!#REF!="Baja",'Mapa final'!#REF!="Moderado"),CONCATENATE("R",'Mapa final'!#REF!),"")</f>
        <v>#REF!</v>
      </c>
      <c r="AA30" s="316"/>
      <c r="AB30" s="290" t="e">
        <f>IF(AND('Mapa final'!#REF!="Baja",'Mapa final'!#REF!="Mayor"),CONCATENATE("R",'Mapa final'!#REF!),"")</f>
        <v>#REF!</v>
      </c>
      <c r="AC30" s="291"/>
      <c r="AD30" s="291" t="str">
        <f>IF(AND('Mapa final'!$L$11="Baja",'Mapa final'!$P$11="Mayor"),CONCATENATE("R",'Mapa final'!$A$11),"")</f>
        <v/>
      </c>
      <c r="AE30" s="291"/>
      <c r="AF30" s="291" t="e">
        <f>IF(AND('Mapa final'!#REF!="Baja",'Mapa final'!#REF!="Mayor"),CONCATENATE("R",'Mapa final'!#REF!),"")</f>
        <v>#REF!</v>
      </c>
      <c r="AG30" s="293"/>
      <c r="AH30" s="305" t="e">
        <f>IF(AND('Mapa final'!#REF!="Baja",'Mapa final'!#REF!="Catastrófico"),CONCATENATE("R",'Mapa final'!#REF!),"")</f>
        <v>#REF!</v>
      </c>
      <c r="AI30" s="306"/>
      <c r="AJ30" s="306" t="str">
        <f>IF(AND('Mapa final'!$L$11="Baja",'Mapa final'!$P$11="Catastrófico"),CONCATENATE("R",'Mapa final'!$A$11),"")</f>
        <v/>
      </c>
      <c r="AK30" s="306"/>
      <c r="AL30" s="306" t="e">
        <f>IF(AND('Mapa final'!#REF!="Baja",'Mapa final'!#REF!="Catastrófico"),CONCATENATE("R",'Mapa final'!#REF!),"")</f>
        <v>#REF!</v>
      </c>
      <c r="AM30" s="307"/>
      <c r="AN30" s="75"/>
      <c r="AO30" s="270" t="s">
        <v>81</v>
      </c>
      <c r="AP30" s="271"/>
      <c r="AQ30" s="271"/>
      <c r="AR30" s="271"/>
      <c r="AS30" s="271"/>
      <c r="AT30" s="272"/>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41"/>
      <c r="C31" s="241"/>
      <c r="D31" s="242"/>
      <c r="E31" s="282"/>
      <c r="F31" s="283"/>
      <c r="G31" s="283"/>
      <c r="H31" s="283"/>
      <c r="I31" s="283"/>
      <c r="J31" s="319"/>
      <c r="K31" s="317"/>
      <c r="L31" s="317"/>
      <c r="M31" s="317"/>
      <c r="N31" s="317"/>
      <c r="O31" s="318"/>
      <c r="P31" s="309"/>
      <c r="Q31" s="309"/>
      <c r="R31" s="309"/>
      <c r="S31" s="309"/>
      <c r="T31" s="309"/>
      <c r="U31" s="310"/>
      <c r="V31" s="308"/>
      <c r="W31" s="309"/>
      <c r="X31" s="309"/>
      <c r="Y31" s="309"/>
      <c r="Z31" s="309"/>
      <c r="AA31" s="310"/>
      <c r="AB31" s="292"/>
      <c r="AC31" s="288"/>
      <c r="AD31" s="288"/>
      <c r="AE31" s="288"/>
      <c r="AF31" s="288"/>
      <c r="AG31" s="289"/>
      <c r="AH31" s="299"/>
      <c r="AI31" s="300"/>
      <c r="AJ31" s="300"/>
      <c r="AK31" s="300"/>
      <c r="AL31" s="300"/>
      <c r="AM31" s="301"/>
      <c r="AN31" s="75"/>
      <c r="AO31" s="273"/>
      <c r="AP31" s="274"/>
      <c r="AQ31" s="274"/>
      <c r="AR31" s="274"/>
      <c r="AS31" s="274"/>
      <c r="AT31" s="2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41"/>
      <c r="C32" s="241"/>
      <c r="D32" s="242"/>
      <c r="E32" s="282"/>
      <c r="F32" s="283"/>
      <c r="G32" s="283"/>
      <c r="H32" s="283"/>
      <c r="I32" s="283"/>
      <c r="J32" s="319" t="e">
        <f>IF(AND('Mapa final'!#REF!="Baja",'Mapa final'!#REF!="Leve"),CONCATENATE("R",'Mapa final'!#REF!),"")</f>
        <v>#REF!</v>
      </c>
      <c r="K32" s="317"/>
      <c r="L32" s="317" t="e">
        <f>IF(AND('Mapa final'!#REF!="Baja",'Mapa final'!#REF!="Leve"),CONCATENATE("R",'Mapa final'!#REF!),"")</f>
        <v>#REF!</v>
      </c>
      <c r="M32" s="317"/>
      <c r="N32" s="317" t="e">
        <f>IF(AND('Mapa final'!#REF!="Baja",'Mapa final'!#REF!="Leve"),CONCATENATE("R",'Mapa final'!#REF!),"")</f>
        <v>#REF!</v>
      </c>
      <c r="O32" s="318"/>
      <c r="P32" s="309" t="e">
        <f>IF(AND('Mapa final'!#REF!="Baja",'Mapa final'!#REF!="Menor"),CONCATENATE("R",'Mapa final'!#REF!),"")</f>
        <v>#REF!</v>
      </c>
      <c r="Q32" s="309"/>
      <c r="R32" s="309" t="e">
        <f>IF(AND('Mapa final'!#REF!="Baja",'Mapa final'!#REF!="Menor"),CONCATENATE("R",'Mapa final'!#REF!),"")</f>
        <v>#REF!</v>
      </c>
      <c r="S32" s="309"/>
      <c r="T32" s="309" t="e">
        <f>IF(AND('Mapa final'!#REF!="Baja",'Mapa final'!#REF!="Menor"),CONCATENATE("R",'Mapa final'!#REF!),"")</f>
        <v>#REF!</v>
      </c>
      <c r="U32" s="310"/>
      <c r="V32" s="308" t="e">
        <f>IF(AND('Mapa final'!#REF!="Baja",'Mapa final'!#REF!="Moderado"),CONCATENATE("R",'Mapa final'!#REF!),"")</f>
        <v>#REF!</v>
      </c>
      <c r="W32" s="309"/>
      <c r="X32" s="309" t="e">
        <f>IF(AND('Mapa final'!#REF!="Baja",'Mapa final'!#REF!="Moderado"),CONCATENATE("R",'Mapa final'!#REF!),"")</f>
        <v>#REF!</v>
      </c>
      <c r="Y32" s="309"/>
      <c r="Z32" s="309" t="e">
        <f>IF(AND('Mapa final'!#REF!="Baja",'Mapa final'!#REF!="Moderado"),CONCATENATE("R",'Mapa final'!#REF!),"")</f>
        <v>#REF!</v>
      </c>
      <c r="AA32" s="310"/>
      <c r="AB32" s="292" t="e">
        <f>IF(AND('Mapa final'!#REF!="Baja",'Mapa final'!#REF!="Mayor"),CONCATENATE("R",'Mapa final'!#REF!),"")</f>
        <v>#REF!</v>
      </c>
      <c r="AC32" s="288"/>
      <c r="AD32" s="288" t="e">
        <f>IF(AND('Mapa final'!#REF!="Baja",'Mapa final'!#REF!="Mayor"),CONCATENATE("R",'Mapa final'!#REF!),"")</f>
        <v>#REF!</v>
      </c>
      <c r="AE32" s="288"/>
      <c r="AF32" s="288" t="e">
        <f>IF(AND('Mapa final'!#REF!="Baja",'Mapa final'!#REF!="Mayor"),CONCATENATE("R",'Mapa final'!#REF!),"")</f>
        <v>#REF!</v>
      </c>
      <c r="AG32" s="289"/>
      <c r="AH32" s="299" t="e">
        <f>IF(AND('Mapa final'!#REF!="Baja",'Mapa final'!#REF!="Catastrófico"),CONCATENATE("R",'Mapa final'!#REF!),"")</f>
        <v>#REF!</v>
      </c>
      <c r="AI32" s="300"/>
      <c r="AJ32" s="300" t="e">
        <f>IF(AND('Mapa final'!#REF!="Baja",'Mapa final'!#REF!="Catastrófico"),CONCATENATE("R",'Mapa final'!#REF!),"")</f>
        <v>#REF!</v>
      </c>
      <c r="AK32" s="300"/>
      <c r="AL32" s="300" t="e">
        <f>IF(AND('Mapa final'!#REF!="Baja",'Mapa final'!#REF!="Catastrófico"),CONCATENATE("R",'Mapa final'!#REF!),"")</f>
        <v>#REF!</v>
      </c>
      <c r="AM32" s="301"/>
      <c r="AN32" s="75"/>
      <c r="AO32" s="273"/>
      <c r="AP32" s="274"/>
      <c r="AQ32" s="274"/>
      <c r="AR32" s="274"/>
      <c r="AS32" s="274"/>
      <c r="AT32" s="2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41"/>
      <c r="C33" s="241"/>
      <c r="D33" s="242"/>
      <c r="E33" s="282"/>
      <c r="F33" s="283"/>
      <c r="G33" s="283"/>
      <c r="H33" s="283"/>
      <c r="I33" s="283"/>
      <c r="J33" s="319"/>
      <c r="K33" s="317"/>
      <c r="L33" s="317"/>
      <c r="M33" s="317"/>
      <c r="N33" s="317"/>
      <c r="O33" s="318"/>
      <c r="P33" s="309"/>
      <c r="Q33" s="309"/>
      <c r="R33" s="309"/>
      <c r="S33" s="309"/>
      <c r="T33" s="309"/>
      <c r="U33" s="310"/>
      <c r="V33" s="308"/>
      <c r="W33" s="309"/>
      <c r="X33" s="309"/>
      <c r="Y33" s="309"/>
      <c r="Z33" s="309"/>
      <c r="AA33" s="310"/>
      <c r="AB33" s="292"/>
      <c r="AC33" s="288"/>
      <c r="AD33" s="288"/>
      <c r="AE33" s="288"/>
      <c r="AF33" s="288"/>
      <c r="AG33" s="289"/>
      <c r="AH33" s="299"/>
      <c r="AI33" s="300"/>
      <c r="AJ33" s="300"/>
      <c r="AK33" s="300"/>
      <c r="AL33" s="300"/>
      <c r="AM33" s="301"/>
      <c r="AN33" s="75"/>
      <c r="AO33" s="273"/>
      <c r="AP33" s="274"/>
      <c r="AQ33" s="274"/>
      <c r="AR33" s="274"/>
      <c r="AS33" s="274"/>
      <c r="AT33" s="2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41"/>
      <c r="C34" s="241"/>
      <c r="D34" s="242"/>
      <c r="E34" s="282"/>
      <c r="F34" s="283"/>
      <c r="G34" s="283"/>
      <c r="H34" s="283"/>
      <c r="I34" s="283"/>
      <c r="J34" s="319" t="e">
        <f>IF(AND('Mapa final'!#REF!="Baja",'Mapa final'!#REF!="Leve"),CONCATENATE("R",'Mapa final'!#REF!),"")</f>
        <v>#REF!</v>
      </c>
      <c r="K34" s="317"/>
      <c r="L34" s="317" t="e">
        <f>IF(AND('Mapa final'!#REF!="Baja",'Mapa final'!#REF!="Leve"),CONCATENATE("R",'Mapa final'!#REF!),"")</f>
        <v>#REF!</v>
      </c>
      <c r="M34" s="317"/>
      <c r="N34" s="317" t="e">
        <f>IF(AND('Mapa final'!#REF!="Baja",'Mapa final'!#REF!="Leve"),CONCATENATE("R",'Mapa final'!#REF!),"")</f>
        <v>#REF!</v>
      </c>
      <c r="O34" s="318"/>
      <c r="P34" s="309" t="e">
        <f>IF(AND('Mapa final'!#REF!="Baja",'Mapa final'!#REF!="Menor"),CONCATENATE("R",'Mapa final'!#REF!),"")</f>
        <v>#REF!</v>
      </c>
      <c r="Q34" s="309"/>
      <c r="R34" s="309" t="e">
        <f>IF(AND('Mapa final'!#REF!="Baja",'Mapa final'!#REF!="Menor"),CONCATENATE("R",'Mapa final'!#REF!),"")</f>
        <v>#REF!</v>
      </c>
      <c r="S34" s="309"/>
      <c r="T34" s="309" t="e">
        <f>IF(AND('Mapa final'!#REF!="Baja",'Mapa final'!#REF!="Menor"),CONCATENATE("R",'Mapa final'!#REF!),"")</f>
        <v>#REF!</v>
      </c>
      <c r="U34" s="310"/>
      <c r="V34" s="308" t="e">
        <f>IF(AND('Mapa final'!#REF!="Baja",'Mapa final'!#REF!="Moderado"),CONCATENATE("R",'Mapa final'!#REF!),"")</f>
        <v>#REF!</v>
      </c>
      <c r="W34" s="309"/>
      <c r="X34" s="309" t="e">
        <f>IF(AND('Mapa final'!#REF!="Baja",'Mapa final'!#REF!="Moderado"),CONCATENATE("R",'Mapa final'!#REF!),"")</f>
        <v>#REF!</v>
      </c>
      <c r="Y34" s="309"/>
      <c r="Z34" s="309" t="e">
        <f>IF(AND('Mapa final'!#REF!="Baja",'Mapa final'!#REF!="Moderado"),CONCATENATE("R",'Mapa final'!#REF!),"")</f>
        <v>#REF!</v>
      </c>
      <c r="AA34" s="310"/>
      <c r="AB34" s="292" t="e">
        <f>IF(AND('Mapa final'!#REF!="Baja",'Mapa final'!#REF!="Mayor"),CONCATENATE("R",'Mapa final'!#REF!),"")</f>
        <v>#REF!</v>
      </c>
      <c r="AC34" s="288"/>
      <c r="AD34" s="288" t="e">
        <f>IF(AND('Mapa final'!#REF!="Baja",'Mapa final'!#REF!="Mayor"),CONCATENATE("R",'Mapa final'!#REF!),"")</f>
        <v>#REF!</v>
      </c>
      <c r="AE34" s="288"/>
      <c r="AF34" s="288" t="e">
        <f>IF(AND('Mapa final'!#REF!="Baja",'Mapa final'!#REF!="Mayor"),CONCATENATE("R",'Mapa final'!#REF!),"")</f>
        <v>#REF!</v>
      </c>
      <c r="AG34" s="289"/>
      <c r="AH34" s="299" t="e">
        <f>IF(AND('Mapa final'!#REF!="Baja",'Mapa final'!#REF!="Catastrófico"),CONCATENATE("R",'Mapa final'!#REF!),"")</f>
        <v>#REF!</v>
      </c>
      <c r="AI34" s="300"/>
      <c r="AJ34" s="300" t="e">
        <f>IF(AND('Mapa final'!#REF!="Baja",'Mapa final'!#REF!="Catastrófico"),CONCATENATE("R",'Mapa final'!#REF!),"")</f>
        <v>#REF!</v>
      </c>
      <c r="AK34" s="300"/>
      <c r="AL34" s="300" t="e">
        <f>IF(AND('Mapa final'!#REF!="Baja",'Mapa final'!#REF!="Catastrófico"),CONCATENATE("R",'Mapa final'!#REF!),"")</f>
        <v>#REF!</v>
      </c>
      <c r="AM34" s="301"/>
      <c r="AN34" s="75"/>
      <c r="AO34" s="273"/>
      <c r="AP34" s="274"/>
      <c r="AQ34" s="274"/>
      <c r="AR34" s="274"/>
      <c r="AS34" s="274"/>
      <c r="AT34" s="2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41"/>
      <c r="C35" s="241"/>
      <c r="D35" s="242"/>
      <c r="E35" s="282"/>
      <c r="F35" s="283"/>
      <c r="G35" s="283"/>
      <c r="H35" s="283"/>
      <c r="I35" s="283"/>
      <c r="J35" s="319"/>
      <c r="K35" s="317"/>
      <c r="L35" s="317"/>
      <c r="M35" s="317"/>
      <c r="N35" s="317"/>
      <c r="O35" s="318"/>
      <c r="P35" s="309"/>
      <c r="Q35" s="309"/>
      <c r="R35" s="309"/>
      <c r="S35" s="309"/>
      <c r="T35" s="309"/>
      <c r="U35" s="310"/>
      <c r="V35" s="308"/>
      <c r="W35" s="309"/>
      <c r="X35" s="309"/>
      <c r="Y35" s="309"/>
      <c r="Z35" s="309"/>
      <c r="AA35" s="310"/>
      <c r="AB35" s="292"/>
      <c r="AC35" s="288"/>
      <c r="AD35" s="288"/>
      <c r="AE35" s="288"/>
      <c r="AF35" s="288"/>
      <c r="AG35" s="289"/>
      <c r="AH35" s="299"/>
      <c r="AI35" s="300"/>
      <c r="AJ35" s="300"/>
      <c r="AK35" s="300"/>
      <c r="AL35" s="300"/>
      <c r="AM35" s="301"/>
      <c r="AN35" s="75"/>
      <c r="AO35" s="273"/>
      <c r="AP35" s="274"/>
      <c r="AQ35" s="274"/>
      <c r="AR35" s="274"/>
      <c r="AS35" s="274"/>
      <c r="AT35" s="2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41"/>
      <c r="C36" s="241"/>
      <c r="D36" s="242"/>
      <c r="E36" s="282"/>
      <c r="F36" s="283"/>
      <c r="G36" s="283"/>
      <c r="H36" s="283"/>
      <c r="I36" s="283"/>
      <c r="J36" s="319" t="e">
        <f>IF(AND('Mapa final'!#REF!="Baja",'Mapa final'!#REF!="Leve"),CONCATENATE("R",'Mapa final'!#REF!),"")</f>
        <v>#REF!</v>
      </c>
      <c r="K36" s="317"/>
      <c r="L36" s="317" t="str">
        <f>IF(AND('Mapa final'!$L$17="Baja",'Mapa final'!$P$17="Leve"),CONCATENATE("R",'Mapa final'!$A$17),"")</f>
        <v/>
      </c>
      <c r="M36" s="317"/>
      <c r="N36" s="317" t="str">
        <f>IF(AND('Mapa final'!$L$19="Baja",'Mapa final'!$P$19="Leve"),CONCATENATE("R",'Mapa final'!$A$19),"")</f>
        <v/>
      </c>
      <c r="O36" s="318"/>
      <c r="P36" s="309" t="e">
        <f>IF(AND('Mapa final'!#REF!="Baja",'Mapa final'!#REF!="Menor"),CONCATENATE("R",'Mapa final'!#REF!),"")</f>
        <v>#REF!</v>
      </c>
      <c r="Q36" s="309"/>
      <c r="R36" s="309" t="str">
        <f>IF(AND('Mapa final'!$L$17="Baja",'Mapa final'!$P$17="Menor"),CONCATENATE("R",'Mapa final'!$A$17),"")</f>
        <v/>
      </c>
      <c r="S36" s="309"/>
      <c r="T36" s="309" t="str">
        <f>IF(AND('Mapa final'!$L$19="Baja",'Mapa final'!$P$19="Menor"),CONCATENATE("R",'Mapa final'!$A$19),"")</f>
        <v/>
      </c>
      <c r="U36" s="310"/>
      <c r="V36" s="308" t="e">
        <f>IF(AND('Mapa final'!#REF!="Baja",'Mapa final'!#REF!="Moderado"),CONCATENATE("R",'Mapa final'!#REF!),"")</f>
        <v>#REF!</v>
      </c>
      <c r="W36" s="309"/>
      <c r="X36" s="309" t="str">
        <f>IF(AND('Mapa final'!$L$17="Baja",'Mapa final'!$P$17="Moderado"),CONCATENATE("R",'Mapa final'!$A$17),"")</f>
        <v/>
      </c>
      <c r="Y36" s="309"/>
      <c r="Z36" s="309" t="str">
        <f>IF(AND('Mapa final'!$L$19="Baja",'Mapa final'!$P$19="Moderado"),CONCATENATE("R",'Mapa final'!$A$19),"")</f>
        <v/>
      </c>
      <c r="AA36" s="310"/>
      <c r="AB36" s="292" t="e">
        <f>IF(AND('Mapa final'!#REF!="Baja",'Mapa final'!#REF!="Mayor"),CONCATENATE("R",'Mapa final'!#REF!),"")</f>
        <v>#REF!</v>
      </c>
      <c r="AC36" s="288"/>
      <c r="AD36" s="288" t="str">
        <f>IF(AND('Mapa final'!$L$17="Baja",'Mapa final'!$P$17="Mayor"),CONCATENATE("R",'Mapa final'!$A$17),"")</f>
        <v/>
      </c>
      <c r="AE36" s="288"/>
      <c r="AF36" s="288" t="str">
        <f>IF(AND('Mapa final'!$L$19="Baja",'Mapa final'!$P$19="Mayor"),CONCATENATE("R",'Mapa final'!$A$19),"")</f>
        <v/>
      </c>
      <c r="AG36" s="289"/>
      <c r="AH36" s="299" t="e">
        <f>IF(AND('Mapa final'!#REF!="Baja",'Mapa final'!#REF!="Catastrófico"),CONCATENATE("R",'Mapa final'!#REF!),"")</f>
        <v>#REF!</v>
      </c>
      <c r="AI36" s="300"/>
      <c r="AJ36" s="300" t="str">
        <f>IF(AND('Mapa final'!$L$17="Baja",'Mapa final'!$P$17="Catastrófico"),CONCATENATE("R",'Mapa final'!$A$17),"")</f>
        <v/>
      </c>
      <c r="AK36" s="300"/>
      <c r="AL36" s="300" t="str">
        <f>IF(AND('Mapa final'!$L$19="Baja",'Mapa final'!$P$19="Catastrófico"),CONCATENATE("R",'Mapa final'!$A$19),"")</f>
        <v/>
      </c>
      <c r="AM36" s="301"/>
      <c r="AN36" s="75"/>
      <c r="AO36" s="273"/>
      <c r="AP36" s="274"/>
      <c r="AQ36" s="274"/>
      <c r="AR36" s="274"/>
      <c r="AS36" s="274"/>
      <c r="AT36" s="2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41"/>
      <c r="C37" s="241"/>
      <c r="D37" s="242"/>
      <c r="E37" s="285"/>
      <c r="F37" s="286"/>
      <c r="G37" s="286"/>
      <c r="H37" s="286"/>
      <c r="I37" s="286"/>
      <c r="J37" s="320"/>
      <c r="K37" s="321"/>
      <c r="L37" s="321"/>
      <c r="M37" s="321"/>
      <c r="N37" s="321"/>
      <c r="O37" s="322"/>
      <c r="P37" s="312"/>
      <c r="Q37" s="312"/>
      <c r="R37" s="312"/>
      <c r="S37" s="312"/>
      <c r="T37" s="312"/>
      <c r="U37" s="313"/>
      <c r="V37" s="311"/>
      <c r="W37" s="312"/>
      <c r="X37" s="312"/>
      <c r="Y37" s="312"/>
      <c r="Z37" s="312"/>
      <c r="AA37" s="313"/>
      <c r="AB37" s="296"/>
      <c r="AC37" s="297"/>
      <c r="AD37" s="297"/>
      <c r="AE37" s="297"/>
      <c r="AF37" s="297"/>
      <c r="AG37" s="298"/>
      <c r="AH37" s="302"/>
      <c r="AI37" s="303"/>
      <c r="AJ37" s="303"/>
      <c r="AK37" s="303"/>
      <c r="AL37" s="303"/>
      <c r="AM37" s="304"/>
      <c r="AN37" s="75"/>
      <c r="AO37" s="276"/>
      <c r="AP37" s="277"/>
      <c r="AQ37" s="277"/>
      <c r="AR37" s="277"/>
      <c r="AS37" s="277"/>
      <c r="AT37" s="278"/>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41"/>
      <c r="C38" s="241"/>
      <c r="D38" s="242"/>
      <c r="E38" s="279" t="s">
        <v>112</v>
      </c>
      <c r="F38" s="280"/>
      <c r="G38" s="280"/>
      <c r="H38" s="280"/>
      <c r="I38" s="281"/>
      <c r="J38" s="323" t="e">
        <f>IF(AND('Mapa final'!#REF!="Muy Baja",'Mapa final'!#REF!="Leve"),CONCATENATE("R",'Mapa final'!#REF!),"")</f>
        <v>#REF!</v>
      </c>
      <c r="K38" s="324"/>
      <c r="L38" s="324" t="str">
        <f>IF(AND('Mapa final'!$L$11="Muy Baja",'Mapa final'!$P$11="Leve"),CONCATENATE("R",'Mapa final'!$A$11),"")</f>
        <v/>
      </c>
      <c r="M38" s="324"/>
      <c r="N38" s="324" t="e">
        <f>IF(AND('Mapa final'!#REF!="Muy Baja",'Mapa final'!#REF!="Leve"),CONCATENATE("R",'Mapa final'!#REF!),"")</f>
        <v>#REF!</v>
      </c>
      <c r="O38" s="325"/>
      <c r="P38" s="323" t="e">
        <f>IF(AND('Mapa final'!#REF!="Muy Baja",'Mapa final'!#REF!="Menor"),CONCATENATE("R",'Mapa final'!#REF!),"")</f>
        <v>#REF!</v>
      </c>
      <c r="Q38" s="324"/>
      <c r="R38" s="324" t="str">
        <f>IF(AND('Mapa final'!$L$11="Muy Baja",'Mapa final'!$P$11="Menor"),CONCATENATE("R",'Mapa final'!$A$11),"")</f>
        <v/>
      </c>
      <c r="S38" s="324"/>
      <c r="T38" s="324" t="e">
        <f>IF(AND('Mapa final'!#REF!="Muy Baja",'Mapa final'!#REF!="Menor"),CONCATENATE("R",'Mapa final'!#REF!),"")</f>
        <v>#REF!</v>
      </c>
      <c r="U38" s="325"/>
      <c r="V38" s="314" t="e">
        <f>IF(AND('Mapa final'!#REF!="Muy Baja",'Mapa final'!#REF!="Moderado"),CONCATENATE("R",'Mapa final'!#REF!),"")</f>
        <v>#REF!</v>
      </c>
      <c r="W38" s="315"/>
      <c r="X38" s="315" t="str">
        <f>IF(AND('Mapa final'!$L$11="Muy Baja",'Mapa final'!$P$11="Moderado"),CONCATENATE("R",'Mapa final'!$A$11),"")</f>
        <v/>
      </c>
      <c r="Y38" s="315"/>
      <c r="Z38" s="315" t="e">
        <f>IF(AND('Mapa final'!#REF!="Muy Baja",'Mapa final'!#REF!="Moderado"),CONCATENATE("R",'Mapa final'!#REF!),"")</f>
        <v>#REF!</v>
      </c>
      <c r="AA38" s="316"/>
      <c r="AB38" s="290" t="e">
        <f>IF(AND('Mapa final'!#REF!="Muy Baja",'Mapa final'!#REF!="Mayor"),CONCATENATE("R",'Mapa final'!#REF!),"")</f>
        <v>#REF!</v>
      </c>
      <c r="AC38" s="291"/>
      <c r="AD38" s="291" t="str">
        <f>IF(AND('Mapa final'!$L$11="Muy Baja",'Mapa final'!$P$11="Mayor"),CONCATENATE("R",'Mapa final'!$A$11),"")</f>
        <v/>
      </c>
      <c r="AE38" s="291"/>
      <c r="AF38" s="291" t="e">
        <f>IF(AND('Mapa final'!#REF!="Muy Baja",'Mapa final'!#REF!="Mayor"),CONCATENATE("R",'Mapa final'!#REF!),"")</f>
        <v>#REF!</v>
      </c>
      <c r="AG38" s="293"/>
      <c r="AH38" s="305" t="e">
        <f>IF(AND('Mapa final'!#REF!="Muy Baja",'Mapa final'!#REF!="Catastrófico"),CONCATENATE("R",'Mapa final'!#REF!),"")</f>
        <v>#REF!</v>
      </c>
      <c r="AI38" s="306"/>
      <c r="AJ38" s="306" t="str">
        <f>IF(AND('Mapa final'!$L$11="Muy Baja",'Mapa final'!$P$11="Catastrófico"),CONCATENATE("R",'Mapa final'!$A$11),"")</f>
        <v/>
      </c>
      <c r="AK38" s="306"/>
      <c r="AL38" s="306" t="e">
        <f>IF(AND('Mapa final'!#REF!="Muy Baja",'Mapa final'!#REF!="Catastrófico"),CONCATENATE("R",'Mapa final'!#REF!),"")</f>
        <v>#REF!</v>
      </c>
      <c r="AM38" s="307"/>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41"/>
      <c r="C39" s="241"/>
      <c r="D39" s="242"/>
      <c r="E39" s="282"/>
      <c r="F39" s="283"/>
      <c r="G39" s="283"/>
      <c r="H39" s="283"/>
      <c r="I39" s="284"/>
      <c r="J39" s="319"/>
      <c r="K39" s="317"/>
      <c r="L39" s="317"/>
      <c r="M39" s="317"/>
      <c r="N39" s="317"/>
      <c r="O39" s="318"/>
      <c r="P39" s="319"/>
      <c r="Q39" s="317"/>
      <c r="R39" s="317"/>
      <c r="S39" s="317"/>
      <c r="T39" s="317"/>
      <c r="U39" s="318"/>
      <c r="V39" s="308"/>
      <c r="W39" s="309"/>
      <c r="X39" s="309"/>
      <c r="Y39" s="309"/>
      <c r="Z39" s="309"/>
      <c r="AA39" s="310"/>
      <c r="AB39" s="292"/>
      <c r="AC39" s="288"/>
      <c r="AD39" s="288"/>
      <c r="AE39" s="288"/>
      <c r="AF39" s="288"/>
      <c r="AG39" s="289"/>
      <c r="AH39" s="299"/>
      <c r="AI39" s="300"/>
      <c r="AJ39" s="300"/>
      <c r="AK39" s="300"/>
      <c r="AL39" s="300"/>
      <c r="AM39" s="301"/>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41"/>
      <c r="C40" s="241"/>
      <c r="D40" s="242"/>
      <c r="E40" s="282"/>
      <c r="F40" s="283"/>
      <c r="G40" s="283"/>
      <c r="H40" s="283"/>
      <c r="I40" s="284"/>
      <c r="J40" s="319" t="e">
        <f>IF(AND('Mapa final'!#REF!="Muy Baja",'Mapa final'!#REF!="Leve"),CONCATENATE("R",'Mapa final'!#REF!),"")</f>
        <v>#REF!</v>
      </c>
      <c r="K40" s="317"/>
      <c r="L40" s="317" t="e">
        <f>IF(AND('Mapa final'!#REF!="Muy Baja",'Mapa final'!#REF!="Leve"),CONCATENATE("R",'Mapa final'!#REF!),"")</f>
        <v>#REF!</v>
      </c>
      <c r="M40" s="317"/>
      <c r="N40" s="317" t="e">
        <f>IF(AND('Mapa final'!#REF!="Muy Baja",'Mapa final'!#REF!="Leve"),CONCATENATE("R",'Mapa final'!#REF!),"")</f>
        <v>#REF!</v>
      </c>
      <c r="O40" s="318"/>
      <c r="P40" s="319" t="e">
        <f>IF(AND('Mapa final'!#REF!="Muy Baja",'Mapa final'!#REF!="Menor"),CONCATENATE("R",'Mapa final'!#REF!),"")</f>
        <v>#REF!</v>
      </c>
      <c r="Q40" s="317"/>
      <c r="R40" s="317" t="e">
        <f>IF(AND('Mapa final'!#REF!="Muy Baja",'Mapa final'!#REF!="Menor"),CONCATENATE("R",'Mapa final'!#REF!),"")</f>
        <v>#REF!</v>
      </c>
      <c r="S40" s="317"/>
      <c r="T40" s="317" t="e">
        <f>IF(AND('Mapa final'!#REF!="Muy Baja",'Mapa final'!#REF!="Menor"),CONCATENATE("R",'Mapa final'!#REF!),"")</f>
        <v>#REF!</v>
      </c>
      <c r="U40" s="318"/>
      <c r="V40" s="308" t="e">
        <f>IF(AND('Mapa final'!#REF!="Muy Baja",'Mapa final'!#REF!="Moderado"),CONCATENATE("R",'Mapa final'!#REF!),"")</f>
        <v>#REF!</v>
      </c>
      <c r="W40" s="309"/>
      <c r="X40" s="309" t="e">
        <f>IF(AND('Mapa final'!#REF!="Muy Baja",'Mapa final'!#REF!="Moderado"),CONCATENATE("R",'Mapa final'!#REF!),"")</f>
        <v>#REF!</v>
      </c>
      <c r="Y40" s="309"/>
      <c r="Z40" s="309" t="e">
        <f>IF(AND('Mapa final'!#REF!="Muy Baja",'Mapa final'!#REF!="Moderado"),CONCATENATE("R",'Mapa final'!#REF!),"")</f>
        <v>#REF!</v>
      </c>
      <c r="AA40" s="310"/>
      <c r="AB40" s="292" t="e">
        <f>IF(AND('Mapa final'!#REF!="Muy Baja",'Mapa final'!#REF!="Mayor"),CONCATENATE("R",'Mapa final'!#REF!),"")</f>
        <v>#REF!</v>
      </c>
      <c r="AC40" s="288"/>
      <c r="AD40" s="288" t="e">
        <f>IF(AND('Mapa final'!#REF!="Muy Baja",'Mapa final'!#REF!="Mayor"),CONCATENATE("R",'Mapa final'!#REF!),"")</f>
        <v>#REF!</v>
      </c>
      <c r="AE40" s="288"/>
      <c r="AF40" s="288" t="e">
        <f>IF(AND('Mapa final'!#REF!="Muy Baja",'Mapa final'!#REF!="Mayor"),CONCATENATE("R",'Mapa final'!#REF!),"")</f>
        <v>#REF!</v>
      </c>
      <c r="AG40" s="289"/>
      <c r="AH40" s="299" t="e">
        <f>IF(AND('Mapa final'!#REF!="Muy Baja",'Mapa final'!#REF!="Catastrófico"),CONCATENATE("R",'Mapa final'!#REF!),"")</f>
        <v>#REF!</v>
      </c>
      <c r="AI40" s="300"/>
      <c r="AJ40" s="300" t="e">
        <f>IF(AND('Mapa final'!#REF!="Muy Baja",'Mapa final'!#REF!="Catastrófico"),CONCATENATE("R",'Mapa final'!#REF!),"")</f>
        <v>#REF!</v>
      </c>
      <c r="AK40" s="300"/>
      <c r="AL40" s="300" t="e">
        <f>IF(AND('Mapa final'!#REF!="Muy Baja",'Mapa final'!#REF!="Catastrófico"),CONCATENATE("R",'Mapa final'!#REF!),"")</f>
        <v>#REF!</v>
      </c>
      <c r="AM40" s="301"/>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41"/>
      <c r="C41" s="241"/>
      <c r="D41" s="242"/>
      <c r="E41" s="282"/>
      <c r="F41" s="283"/>
      <c r="G41" s="283"/>
      <c r="H41" s="283"/>
      <c r="I41" s="284"/>
      <c r="J41" s="319"/>
      <c r="K41" s="317"/>
      <c r="L41" s="317"/>
      <c r="M41" s="317"/>
      <c r="N41" s="317"/>
      <c r="O41" s="318"/>
      <c r="P41" s="319"/>
      <c r="Q41" s="317"/>
      <c r="R41" s="317"/>
      <c r="S41" s="317"/>
      <c r="T41" s="317"/>
      <c r="U41" s="318"/>
      <c r="V41" s="308"/>
      <c r="W41" s="309"/>
      <c r="X41" s="309"/>
      <c r="Y41" s="309"/>
      <c r="Z41" s="309"/>
      <c r="AA41" s="310"/>
      <c r="AB41" s="292"/>
      <c r="AC41" s="288"/>
      <c r="AD41" s="288"/>
      <c r="AE41" s="288"/>
      <c r="AF41" s="288"/>
      <c r="AG41" s="289"/>
      <c r="AH41" s="299"/>
      <c r="AI41" s="300"/>
      <c r="AJ41" s="300"/>
      <c r="AK41" s="300"/>
      <c r="AL41" s="300"/>
      <c r="AM41" s="301"/>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41"/>
      <c r="C42" s="241"/>
      <c r="D42" s="242"/>
      <c r="E42" s="282"/>
      <c r="F42" s="283"/>
      <c r="G42" s="283"/>
      <c r="H42" s="283"/>
      <c r="I42" s="284"/>
      <c r="J42" s="319" t="e">
        <f>IF(AND('Mapa final'!#REF!="Muy Baja",'Mapa final'!#REF!="Leve"),CONCATENATE("R",'Mapa final'!#REF!),"")</f>
        <v>#REF!</v>
      </c>
      <c r="K42" s="317"/>
      <c r="L42" s="317" t="e">
        <f>IF(AND('Mapa final'!#REF!="Muy Baja",'Mapa final'!#REF!="Leve"),CONCATENATE("R",'Mapa final'!#REF!),"")</f>
        <v>#REF!</v>
      </c>
      <c r="M42" s="317"/>
      <c r="N42" s="317" t="e">
        <f>IF(AND('Mapa final'!#REF!="Muy Baja",'Mapa final'!#REF!="Leve"),CONCATENATE("R",'Mapa final'!#REF!),"")</f>
        <v>#REF!</v>
      </c>
      <c r="O42" s="318"/>
      <c r="P42" s="319" t="e">
        <f>IF(AND('Mapa final'!#REF!="Muy Baja",'Mapa final'!#REF!="Menor"),CONCATENATE("R",'Mapa final'!#REF!),"")</f>
        <v>#REF!</v>
      </c>
      <c r="Q42" s="317"/>
      <c r="R42" s="317" t="e">
        <f>IF(AND('Mapa final'!#REF!="Muy Baja",'Mapa final'!#REF!="Menor"),CONCATENATE("R",'Mapa final'!#REF!),"")</f>
        <v>#REF!</v>
      </c>
      <c r="S42" s="317"/>
      <c r="T42" s="317" t="e">
        <f>IF(AND('Mapa final'!#REF!="Muy Baja",'Mapa final'!#REF!="Menor"),CONCATENATE("R",'Mapa final'!#REF!),"")</f>
        <v>#REF!</v>
      </c>
      <c r="U42" s="318"/>
      <c r="V42" s="308" t="e">
        <f>IF(AND('Mapa final'!#REF!="Muy Baja",'Mapa final'!#REF!="Moderado"),CONCATENATE("R",'Mapa final'!#REF!),"")</f>
        <v>#REF!</v>
      </c>
      <c r="W42" s="309"/>
      <c r="X42" s="309" t="e">
        <f>IF(AND('Mapa final'!#REF!="Muy Baja",'Mapa final'!#REF!="Moderado"),CONCATENATE("R",'Mapa final'!#REF!),"")</f>
        <v>#REF!</v>
      </c>
      <c r="Y42" s="309"/>
      <c r="Z42" s="309" t="e">
        <f>IF(AND('Mapa final'!#REF!="Muy Baja",'Mapa final'!#REF!="Moderado"),CONCATENATE("R",'Mapa final'!#REF!),"")</f>
        <v>#REF!</v>
      </c>
      <c r="AA42" s="310"/>
      <c r="AB42" s="292" t="e">
        <f>IF(AND('Mapa final'!#REF!="Muy Baja",'Mapa final'!#REF!="Mayor"),CONCATENATE("R",'Mapa final'!#REF!),"")</f>
        <v>#REF!</v>
      </c>
      <c r="AC42" s="288"/>
      <c r="AD42" s="288" t="e">
        <f>IF(AND('Mapa final'!#REF!="Muy Baja",'Mapa final'!#REF!="Mayor"),CONCATENATE("R",'Mapa final'!#REF!),"")</f>
        <v>#REF!</v>
      </c>
      <c r="AE42" s="288"/>
      <c r="AF42" s="288" t="e">
        <f>IF(AND('Mapa final'!#REF!="Muy Baja",'Mapa final'!#REF!="Mayor"),CONCATENATE("R",'Mapa final'!#REF!),"")</f>
        <v>#REF!</v>
      </c>
      <c r="AG42" s="289"/>
      <c r="AH42" s="299" t="e">
        <f>IF(AND('Mapa final'!#REF!="Muy Baja",'Mapa final'!#REF!="Catastrófico"),CONCATENATE("R",'Mapa final'!#REF!),"")</f>
        <v>#REF!</v>
      </c>
      <c r="AI42" s="300"/>
      <c r="AJ42" s="300" t="e">
        <f>IF(AND('Mapa final'!#REF!="Muy Baja",'Mapa final'!#REF!="Catastrófico"),CONCATENATE("R",'Mapa final'!#REF!),"")</f>
        <v>#REF!</v>
      </c>
      <c r="AK42" s="300"/>
      <c r="AL42" s="300" t="e">
        <f>IF(AND('Mapa final'!#REF!="Muy Baja",'Mapa final'!#REF!="Catastrófico"),CONCATENATE("R",'Mapa final'!#REF!),"")</f>
        <v>#REF!</v>
      </c>
      <c r="AM42" s="301"/>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41"/>
      <c r="C43" s="241"/>
      <c r="D43" s="242"/>
      <c r="E43" s="282"/>
      <c r="F43" s="283"/>
      <c r="G43" s="283"/>
      <c r="H43" s="283"/>
      <c r="I43" s="284"/>
      <c r="J43" s="319"/>
      <c r="K43" s="317"/>
      <c r="L43" s="317"/>
      <c r="M43" s="317"/>
      <c r="N43" s="317"/>
      <c r="O43" s="318"/>
      <c r="P43" s="319"/>
      <c r="Q43" s="317"/>
      <c r="R43" s="317"/>
      <c r="S43" s="317"/>
      <c r="T43" s="317"/>
      <c r="U43" s="318"/>
      <c r="V43" s="308"/>
      <c r="W43" s="309"/>
      <c r="X43" s="309"/>
      <c r="Y43" s="309"/>
      <c r="Z43" s="309"/>
      <c r="AA43" s="310"/>
      <c r="AB43" s="292"/>
      <c r="AC43" s="288"/>
      <c r="AD43" s="288"/>
      <c r="AE43" s="288"/>
      <c r="AF43" s="288"/>
      <c r="AG43" s="289"/>
      <c r="AH43" s="299"/>
      <c r="AI43" s="300"/>
      <c r="AJ43" s="300"/>
      <c r="AK43" s="300"/>
      <c r="AL43" s="300"/>
      <c r="AM43" s="301"/>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41"/>
      <c r="C44" s="241"/>
      <c r="D44" s="242"/>
      <c r="E44" s="282"/>
      <c r="F44" s="283"/>
      <c r="G44" s="283"/>
      <c r="H44" s="283"/>
      <c r="I44" s="284"/>
      <c r="J44" s="319" t="e">
        <f>IF(AND('Mapa final'!#REF!="Muy Baja",'Mapa final'!#REF!="Leve"),CONCATENATE("R",'Mapa final'!#REF!),"")</f>
        <v>#REF!</v>
      </c>
      <c r="K44" s="317"/>
      <c r="L44" s="317" t="str">
        <f>IF(AND('Mapa final'!$L$17="Muy Baja",'Mapa final'!$P$17="Leve"),CONCATENATE("R",'Mapa final'!$A$17),"")</f>
        <v/>
      </c>
      <c r="M44" s="317"/>
      <c r="N44" s="317" t="str">
        <f>IF(AND('Mapa final'!$L$19="Muy Baja",'Mapa final'!$P$19="Leve"),CONCATENATE("R",'Mapa final'!$A$19),"")</f>
        <v/>
      </c>
      <c r="O44" s="318"/>
      <c r="P44" s="319" t="e">
        <f>IF(AND('Mapa final'!#REF!="Muy Baja",'Mapa final'!#REF!="Menor"),CONCATENATE("R",'Mapa final'!#REF!),"")</f>
        <v>#REF!</v>
      </c>
      <c r="Q44" s="317"/>
      <c r="R44" s="317" t="str">
        <f>IF(AND('Mapa final'!$L$17="Muy Baja",'Mapa final'!$P$17="Menor"),CONCATENATE("R",'Mapa final'!$A$17),"")</f>
        <v/>
      </c>
      <c r="S44" s="317"/>
      <c r="T44" s="317" t="str">
        <f>IF(AND('Mapa final'!$L$19="Muy Baja",'Mapa final'!$P$19="Menor"),CONCATENATE("R",'Mapa final'!$A$19),"")</f>
        <v/>
      </c>
      <c r="U44" s="318"/>
      <c r="V44" s="308" t="e">
        <f>IF(AND('Mapa final'!#REF!="Muy Baja",'Mapa final'!#REF!="Moderado"),CONCATENATE("R",'Mapa final'!#REF!),"")</f>
        <v>#REF!</v>
      </c>
      <c r="W44" s="309"/>
      <c r="X44" s="309" t="str">
        <f>IF(AND('Mapa final'!$L$17="Muy Baja",'Mapa final'!$P$17="Moderado"),CONCATENATE("R",'Mapa final'!$A$17),"")</f>
        <v/>
      </c>
      <c r="Y44" s="309"/>
      <c r="Z44" s="309" t="str">
        <f>IF(AND('Mapa final'!$L$19="Muy Baja",'Mapa final'!$P$19="Moderado"),CONCATENATE("R",'Mapa final'!$A$19),"")</f>
        <v/>
      </c>
      <c r="AA44" s="310"/>
      <c r="AB44" s="292" t="e">
        <f>IF(AND('Mapa final'!#REF!="Muy Baja",'Mapa final'!#REF!="Mayor"),CONCATENATE("R",'Mapa final'!#REF!),"")</f>
        <v>#REF!</v>
      </c>
      <c r="AC44" s="288"/>
      <c r="AD44" s="288" t="str">
        <f>IF(AND('Mapa final'!$L$17="Muy Baja",'Mapa final'!$P$17="Mayor"),CONCATENATE("R",'Mapa final'!$A$17),"")</f>
        <v/>
      </c>
      <c r="AE44" s="288"/>
      <c r="AF44" s="288" t="str">
        <f>IF(AND('Mapa final'!$L$19="Muy Baja",'Mapa final'!$P$19="Mayor"),CONCATENATE("R",'Mapa final'!$A$19),"")</f>
        <v/>
      </c>
      <c r="AG44" s="289"/>
      <c r="AH44" s="299" t="e">
        <f>IF(AND('Mapa final'!#REF!="Muy Baja",'Mapa final'!#REF!="Catastrófico"),CONCATENATE("R",'Mapa final'!#REF!),"")</f>
        <v>#REF!</v>
      </c>
      <c r="AI44" s="300"/>
      <c r="AJ44" s="300" t="str">
        <f>IF(AND('Mapa final'!$L$17="Muy Baja",'Mapa final'!$P$17="Catastrófico"),CONCATENATE("R",'Mapa final'!$A$17),"")</f>
        <v/>
      </c>
      <c r="AK44" s="300"/>
      <c r="AL44" s="300" t="str">
        <f>IF(AND('Mapa final'!$L$19="Muy Baja",'Mapa final'!$P$19="Catastrófico"),CONCATENATE("R",'Mapa final'!$A$19),"")</f>
        <v/>
      </c>
      <c r="AM44" s="301"/>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41"/>
      <c r="C45" s="241"/>
      <c r="D45" s="242"/>
      <c r="E45" s="285"/>
      <c r="F45" s="286"/>
      <c r="G45" s="286"/>
      <c r="H45" s="286"/>
      <c r="I45" s="287"/>
      <c r="J45" s="320"/>
      <c r="K45" s="321"/>
      <c r="L45" s="321"/>
      <c r="M45" s="321"/>
      <c r="N45" s="321"/>
      <c r="O45" s="322"/>
      <c r="P45" s="320"/>
      <c r="Q45" s="321"/>
      <c r="R45" s="321"/>
      <c r="S45" s="321"/>
      <c r="T45" s="321"/>
      <c r="U45" s="322"/>
      <c r="V45" s="311"/>
      <c r="W45" s="312"/>
      <c r="X45" s="312"/>
      <c r="Y45" s="312"/>
      <c r="Z45" s="312"/>
      <c r="AA45" s="313"/>
      <c r="AB45" s="296"/>
      <c r="AC45" s="297"/>
      <c r="AD45" s="297"/>
      <c r="AE45" s="297"/>
      <c r="AF45" s="297"/>
      <c r="AG45" s="298"/>
      <c r="AH45" s="302"/>
      <c r="AI45" s="303"/>
      <c r="AJ45" s="303"/>
      <c r="AK45" s="303"/>
      <c r="AL45" s="303"/>
      <c r="AM45" s="304"/>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79" t="s">
        <v>111</v>
      </c>
      <c r="K46" s="280"/>
      <c r="L46" s="280"/>
      <c r="M46" s="280"/>
      <c r="N46" s="280"/>
      <c r="O46" s="281"/>
      <c r="P46" s="279" t="s">
        <v>110</v>
      </c>
      <c r="Q46" s="280"/>
      <c r="R46" s="280"/>
      <c r="S46" s="280"/>
      <c r="T46" s="280"/>
      <c r="U46" s="281"/>
      <c r="V46" s="279" t="s">
        <v>109</v>
      </c>
      <c r="W46" s="280"/>
      <c r="X46" s="280"/>
      <c r="Y46" s="280"/>
      <c r="Z46" s="280"/>
      <c r="AA46" s="281"/>
      <c r="AB46" s="279" t="s">
        <v>108</v>
      </c>
      <c r="AC46" s="295"/>
      <c r="AD46" s="280"/>
      <c r="AE46" s="280"/>
      <c r="AF46" s="280"/>
      <c r="AG46" s="281"/>
      <c r="AH46" s="279" t="s">
        <v>107</v>
      </c>
      <c r="AI46" s="280"/>
      <c r="AJ46" s="280"/>
      <c r="AK46" s="280"/>
      <c r="AL46" s="280"/>
      <c r="AM46" s="281"/>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82"/>
      <c r="K47" s="283"/>
      <c r="L47" s="283"/>
      <c r="M47" s="283"/>
      <c r="N47" s="283"/>
      <c r="O47" s="284"/>
      <c r="P47" s="282"/>
      <c r="Q47" s="283"/>
      <c r="R47" s="283"/>
      <c r="S47" s="283"/>
      <c r="T47" s="283"/>
      <c r="U47" s="284"/>
      <c r="V47" s="282"/>
      <c r="W47" s="283"/>
      <c r="X47" s="283"/>
      <c r="Y47" s="283"/>
      <c r="Z47" s="283"/>
      <c r="AA47" s="284"/>
      <c r="AB47" s="282"/>
      <c r="AC47" s="283"/>
      <c r="AD47" s="283"/>
      <c r="AE47" s="283"/>
      <c r="AF47" s="283"/>
      <c r="AG47" s="284"/>
      <c r="AH47" s="282"/>
      <c r="AI47" s="283"/>
      <c r="AJ47" s="283"/>
      <c r="AK47" s="283"/>
      <c r="AL47" s="283"/>
      <c r="AM47" s="284"/>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82"/>
      <c r="K48" s="283"/>
      <c r="L48" s="283"/>
      <c r="M48" s="283"/>
      <c r="N48" s="283"/>
      <c r="O48" s="284"/>
      <c r="P48" s="282"/>
      <c r="Q48" s="283"/>
      <c r="R48" s="283"/>
      <c r="S48" s="283"/>
      <c r="T48" s="283"/>
      <c r="U48" s="284"/>
      <c r="V48" s="282"/>
      <c r="W48" s="283"/>
      <c r="X48" s="283"/>
      <c r="Y48" s="283"/>
      <c r="Z48" s="283"/>
      <c r="AA48" s="284"/>
      <c r="AB48" s="282"/>
      <c r="AC48" s="283"/>
      <c r="AD48" s="283"/>
      <c r="AE48" s="283"/>
      <c r="AF48" s="283"/>
      <c r="AG48" s="284"/>
      <c r="AH48" s="282"/>
      <c r="AI48" s="283"/>
      <c r="AJ48" s="283"/>
      <c r="AK48" s="283"/>
      <c r="AL48" s="283"/>
      <c r="AM48" s="284"/>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82"/>
      <c r="K49" s="283"/>
      <c r="L49" s="283"/>
      <c r="M49" s="283"/>
      <c r="N49" s="283"/>
      <c r="O49" s="284"/>
      <c r="P49" s="282"/>
      <c r="Q49" s="283"/>
      <c r="R49" s="283"/>
      <c r="S49" s="283"/>
      <c r="T49" s="283"/>
      <c r="U49" s="284"/>
      <c r="V49" s="282"/>
      <c r="W49" s="283"/>
      <c r="X49" s="283"/>
      <c r="Y49" s="283"/>
      <c r="Z49" s="283"/>
      <c r="AA49" s="284"/>
      <c r="AB49" s="282"/>
      <c r="AC49" s="283"/>
      <c r="AD49" s="283"/>
      <c r="AE49" s="283"/>
      <c r="AF49" s="283"/>
      <c r="AG49" s="284"/>
      <c r="AH49" s="282"/>
      <c r="AI49" s="283"/>
      <c r="AJ49" s="283"/>
      <c r="AK49" s="283"/>
      <c r="AL49" s="283"/>
      <c r="AM49" s="284"/>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82"/>
      <c r="K50" s="283"/>
      <c r="L50" s="283"/>
      <c r="M50" s="283"/>
      <c r="N50" s="283"/>
      <c r="O50" s="284"/>
      <c r="P50" s="282"/>
      <c r="Q50" s="283"/>
      <c r="R50" s="283"/>
      <c r="S50" s="283"/>
      <c r="T50" s="283"/>
      <c r="U50" s="284"/>
      <c r="V50" s="282"/>
      <c r="W50" s="283"/>
      <c r="X50" s="283"/>
      <c r="Y50" s="283"/>
      <c r="Z50" s="283"/>
      <c r="AA50" s="284"/>
      <c r="AB50" s="282"/>
      <c r="AC50" s="283"/>
      <c r="AD50" s="283"/>
      <c r="AE50" s="283"/>
      <c r="AF50" s="283"/>
      <c r="AG50" s="284"/>
      <c r="AH50" s="282"/>
      <c r="AI50" s="283"/>
      <c r="AJ50" s="283"/>
      <c r="AK50" s="283"/>
      <c r="AL50" s="283"/>
      <c r="AM50" s="284"/>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85"/>
      <c r="K51" s="286"/>
      <c r="L51" s="286"/>
      <c r="M51" s="286"/>
      <c r="N51" s="286"/>
      <c r="O51" s="287"/>
      <c r="P51" s="285"/>
      <c r="Q51" s="286"/>
      <c r="R51" s="286"/>
      <c r="S51" s="286"/>
      <c r="T51" s="286"/>
      <c r="U51" s="287"/>
      <c r="V51" s="285"/>
      <c r="W51" s="286"/>
      <c r="X51" s="286"/>
      <c r="Y51" s="286"/>
      <c r="Z51" s="286"/>
      <c r="AA51" s="287"/>
      <c r="AB51" s="285"/>
      <c r="AC51" s="286"/>
      <c r="AD51" s="286"/>
      <c r="AE51" s="286"/>
      <c r="AF51" s="286"/>
      <c r="AG51" s="287"/>
      <c r="AH51" s="285"/>
      <c r="AI51" s="286"/>
      <c r="AJ51" s="286"/>
      <c r="AK51" s="286"/>
      <c r="AL51" s="286"/>
      <c r="AM51" s="287"/>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52" t="s">
        <v>157</v>
      </c>
      <c r="C2" s="353"/>
      <c r="D2" s="353"/>
      <c r="E2" s="353"/>
      <c r="F2" s="353"/>
      <c r="G2" s="353"/>
      <c r="H2" s="353"/>
      <c r="I2" s="353"/>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53"/>
      <c r="C3" s="353"/>
      <c r="D3" s="353"/>
      <c r="E3" s="353"/>
      <c r="F3" s="353"/>
      <c r="G3" s="353"/>
      <c r="H3" s="353"/>
      <c r="I3" s="353"/>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53"/>
      <c r="C4" s="353"/>
      <c r="D4" s="353"/>
      <c r="E4" s="353"/>
      <c r="F4" s="353"/>
      <c r="G4" s="353"/>
      <c r="H4" s="353"/>
      <c r="I4" s="353"/>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41" t="s">
        <v>4</v>
      </c>
      <c r="C6" s="241"/>
      <c r="D6" s="242"/>
      <c r="E6" s="336" t="s">
        <v>115</v>
      </c>
      <c r="F6" s="337"/>
      <c r="G6" s="337"/>
      <c r="H6" s="337"/>
      <c r="I6" s="354"/>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43" t="s">
        <v>78</v>
      </c>
      <c r="AP6" s="344"/>
      <c r="AQ6" s="344"/>
      <c r="AR6" s="344"/>
      <c r="AS6" s="344"/>
      <c r="AT6" s="34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41"/>
      <c r="C7" s="241"/>
      <c r="D7" s="242"/>
      <c r="E7" s="340"/>
      <c r="F7" s="339"/>
      <c r="G7" s="339"/>
      <c r="H7" s="339"/>
      <c r="I7" s="355"/>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46"/>
      <c r="AP7" s="347"/>
      <c r="AQ7" s="347"/>
      <c r="AR7" s="347"/>
      <c r="AS7" s="347"/>
      <c r="AT7" s="348"/>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41"/>
      <c r="C8" s="241"/>
      <c r="D8" s="242"/>
      <c r="E8" s="340"/>
      <c r="F8" s="339"/>
      <c r="G8" s="339"/>
      <c r="H8" s="339"/>
      <c r="I8" s="355"/>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46"/>
      <c r="AP8" s="347"/>
      <c r="AQ8" s="347"/>
      <c r="AR8" s="347"/>
      <c r="AS8" s="347"/>
      <c r="AT8" s="348"/>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41"/>
      <c r="C9" s="241"/>
      <c r="D9" s="242"/>
      <c r="E9" s="340"/>
      <c r="F9" s="339"/>
      <c r="G9" s="339"/>
      <c r="H9" s="339"/>
      <c r="I9" s="355"/>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46"/>
      <c r="AP9" s="347"/>
      <c r="AQ9" s="347"/>
      <c r="AR9" s="347"/>
      <c r="AS9" s="347"/>
      <c r="AT9" s="348"/>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41"/>
      <c r="C10" s="241"/>
      <c r="D10" s="242"/>
      <c r="E10" s="340"/>
      <c r="F10" s="339"/>
      <c r="G10" s="339"/>
      <c r="H10" s="339"/>
      <c r="I10" s="355"/>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46"/>
      <c r="AP10" s="347"/>
      <c r="AQ10" s="347"/>
      <c r="AR10" s="347"/>
      <c r="AS10" s="347"/>
      <c r="AT10" s="348"/>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41"/>
      <c r="C11" s="241"/>
      <c r="D11" s="242"/>
      <c r="E11" s="340"/>
      <c r="F11" s="339"/>
      <c r="G11" s="339"/>
      <c r="H11" s="339"/>
      <c r="I11" s="355"/>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46"/>
      <c r="AP11" s="347"/>
      <c r="AQ11" s="347"/>
      <c r="AR11" s="347"/>
      <c r="AS11" s="347"/>
      <c r="AT11" s="348"/>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41"/>
      <c r="C12" s="241"/>
      <c r="D12" s="242"/>
      <c r="E12" s="340"/>
      <c r="F12" s="339"/>
      <c r="G12" s="339"/>
      <c r="H12" s="339"/>
      <c r="I12" s="355"/>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46"/>
      <c r="AP12" s="347"/>
      <c r="AQ12" s="347"/>
      <c r="AR12" s="347"/>
      <c r="AS12" s="347"/>
      <c r="AT12" s="348"/>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41"/>
      <c r="C13" s="241"/>
      <c r="D13" s="242"/>
      <c r="E13" s="340"/>
      <c r="F13" s="339"/>
      <c r="G13" s="339"/>
      <c r="H13" s="339"/>
      <c r="I13" s="355"/>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46"/>
      <c r="AP13" s="347"/>
      <c r="AQ13" s="347"/>
      <c r="AR13" s="347"/>
      <c r="AS13" s="347"/>
      <c r="AT13" s="348"/>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41"/>
      <c r="C14" s="241"/>
      <c r="D14" s="242"/>
      <c r="E14" s="340"/>
      <c r="F14" s="339"/>
      <c r="G14" s="339"/>
      <c r="H14" s="339"/>
      <c r="I14" s="355"/>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46"/>
      <c r="AP14" s="347"/>
      <c r="AQ14" s="347"/>
      <c r="AR14" s="347"/>
      <c r="AS14" s="347"/>
      <c r="AT14" s="348"/>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41"/>
      <c r="C15" s="241"/>
      <c r="D15" s="242"/>
      <c r="E15" s="341"/>
      <c r="F15" s="342"/>
      <c r="G15" s="342"/>
      <c r="H15" s="342"/>
      <c r="I15" s="356"/>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49"/>
      <c r="AP15" s="350"/>
      <c r="AQ15" s="350"/>
      <c r="AR15" s="350"/>
      <c r="AS15" s="350"/>
      <c r="AT15" s="351"/>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41"/>
      <c r="C16" s="241"/>
      <c r="D16" s="242"/>
      <c r="E16" s="336" t="s">
        <v>114</v>
      </c>
      <c r="F16" s="337"/>
      <c r="G16" s="337"/>
      <c r="H16" s="337"/>
      <c r="I16" s="337"/>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27" t="s">
        <v>79</v>
      </c>
      <c r="AP16" s="328"/>
      <c r="AQ16" s="328"/>
      <c r="AR16" s="328"/>
      <c r="AS16" s="328"/>
      <c r="AT16" s="329"/>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41"/>
      <c r="C17" s="241"/>
      <c r="D17" s="242"/>
      <c r="E17" s="338"/>
      <c r="F17" s="339"/>
      <c r="G17" s="339"/>
      <c r="H17" s="339"/>
      <c r="I17" s="339"/>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30"/>
      <c r="AP17" s="331"/>
      <c r="AQ17" s="331"/>
      <c r="AR17" s="331"/>
      <c r="AS17" s="331"/>
      <c r="AT17" s="332"/>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41"/>
      <c r="C18" s="241"/>
      <c r="D18" s="242"/>
      <c r="E18" s="340"/>
      <c r="F18" s="339"/>
      <c r="G18" s="339"/>
      <c r="H18" s="339"/>
      <c r="I18" s="339"/>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30"/>
      <c r="AP18" s="331"/>
      <c r="AQ18" s="331"/>
      <c r="AR18" s="331"/>
      <c r="AS18" s="331"/>
      <c r="AT18" s="332"/>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41"/>
      <c r="C19" s="241"/>
      <c r="D19" s="242"/>
      <c r="E19" s="340"/>
      <c r="F19" s="339"/>
      <c r="G19" s="339"/>
      <c r="H19" s="339"/>
      <c r="I19" s="339"/>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30"/>
      <c r="AP19" s="331"/>
      <c r="AQ19" s="331"/>
      <c r="AR19" s="331"/>
      <c r="AS19" s="331"/>
      <c r="AT19" s="332"/>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41"/>
      <c r="C20" s="241"/>
      <c r="D20" s="242"/>
      <c r="E20" s="340"/>
      <c r="F20" s="339"/>
      <c r="G20" s="339"/>
      <c r="H20" s="339"/>
      <c r="I20" s="339"/>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30"/>
      <c r="AP20" s="331"/>
      <c r="AQ20" s="331"/>
      <c r="AR20" s="331"/>
      <c r="AS20" s="331"/>
      <c r="AT20" s="332"/>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41"/>
      <c r="C21" s="241"/>
      <c r="D21" s="242"/>
      <c r="E21" s="340"/>
      <c r="F21" s="339"/>
      <c r="G21" s="339"/>
      <c r="H21" s="339"/>
      <c r="I21" s="339"/>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30"/>
      <c r="AP21" s="331"/>
      <c r="AQ21" s="331"/>
      <c r="AR21" s="331"/>
      <c r="AS21" s="331"/>
      <c r="AT21" s="332"/>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41"/>
      <c r="C22" s="241"/>
      <c r="D22" s="242"/>
      <c r="E22" s="340"/>
      <c r="F22" s="339"/>
      <c r="G22" s="339"/>
      <c r="H22" s="339"/>
      <c r="I22" s="339"/>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30"/>
      <c r="AP22" s="331"/>
      <c r="AQ22" s="331"/>
      <c r="AR22" s="331"/>
      <c r="AS22" s="331"/>
      <c r="AT22" s="332"/>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41"/>
      <c r="C23" s="241"/>
      <c r="D23" s="242"/>
      <c r="E23" s="340"/>
      <c r="F23" s="339"/>
      <c r="G23" s="339"/>
      <c r="H23" s="339"/>
      <c r="I23" s="339"/>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30"/>
      <c r="AP23" s="331"/>
      <c r="AQ23" s="331"/>
      <c r="AR23" s="331"/>
      <c r="AS23" s="331"/>
      <c r="AT23" s="332"/>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41"/>
      <c r="C24" s="241"/>
      <c r="D24" s="242"/>
      <c r="E24" s="340"/>
      <c r="F24" s="339"/>
      <c r="G24" s="339"/>
      <c r="H24" s="339"/>
      <c r="I24" s="339"/>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30"/>
      <c r="AP24" s="331"/>
      <c r="AQ24" s="331"/>
      <c r="AR24" s="331"/>
      <c r="AS24" s="331"/>
      <c r="AT24" s="332"/>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41"/>
      <c r="C25" s="241"/>
      <c r="D25" s="242"/>
      <c r="E25" s="341"/>
      <c r="F25" s="342"/>
      <c r="G25" s="342"/>
      <c r="H25" s="342"/>
      <c r="I25" s="342"/>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33"/>
      <c r="AP25" s="334"/>
      <c r="AQ25" s="334"/>
      <c r="AR25" s="334"/>
      <c r="AS25" s="334"/>
      <c r="AT25" s="33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41"/>
      <c r="C26" s="241"/>
      <c r="D26" s="242"/>
      <c r="E26" s="336" t="s">
        <v>116</v>
      </c>
      <c r="F26" s="337"/>
      <c r="G26" s="337"/>
      <c r="H26" s="337"/>
      <c r="I26" s="354"/>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66" t="s">
        <v>80</v>
      </c>
      <c r="AP26" s="367"/>
      <c r="AQ26" s="367"/>
      <c r="AR26" s="367"/>
      <c r="AS26" s="367"/>
      <c r="AT26" s="368"/>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41"/>
      <c r="C27" s="241"/>
      <c r="D27" s="242"/>
      <c r="E27" s="338"/>
      <c r="F27" s="339"/>
      <c r="G27" s="339"/>
      <c r="H27" s="339"/>
      <c r="I27" s="355"/>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R2C1</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69"/>
      <c r="AP27" s="370"/>
      <c r="AQ27" s="370"/>
      <c r="AR27" s="370"/>
      <c r="AS27" s="370"/>
      <c r="AT27" s="371"/>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41"/>
      <c r="C28" s="241"/>
      <c r="D28" s="242"/>
      <c r="E28" s="340"/>
      <c r="F28" s="339"/>
      <c r="G28" s="339"/>
      <c r="H28" s="339"/>
      <c r="I28" s="355"/>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69"/>
      <c r="AP28" s="370"/>
      <c r="AQ28" s="370"/>
      <c r="AR28" s="370"/>
      <c r="AS28" s="370"/>
      <c r="AT28" s="371"/>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41"/>
      <c r="C29" s="241"/>
      <c r="D29" s="242"/>
      <c r="E29" s="340"/>
      <c r="F29" s="339"/>
      <c r="G29" s="339"/>
      <c r="H29" s="339"/>
      <c r="I29" s="355"/>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69"/>
      <c r="AP29" s="370"/>
      <c r="AQ29" s="370"/>
      <c r="AR29" s="370"/>
      <c r="AS29" s="370"/>
      <c r="AT29" s="371"/>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41"/>
      <c r="C30" s="241"/>
      <c r="D30" s="242"/>
      <c r="E30" s="340"/>
      <c r="F30" s="339"/>
      <c r="G30" s="339"/>
      <c r="H30" s="339"/>
      <c r="I30" s="355"/>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69"/>
      <c r="AP30" s="370"/>
      <c r="AQ30" s="370"/>
      <c r="AR30" s="370"/>
      <c r="AS30" s="370"/>
      <c r="AT30" s="371"/>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41"/>
      <c r="C31" s="241"/>
      <c r="D31" s="242"/>
      <c r="E31" s="340"/>
      <c r="F31" s="339"/>
      <c r="G31" s="339"/>
      <c r="H31" s="339"/>
      <c r="I31" s="355"/>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69"/>
      <c r="AP31" s="370"/>
      <c r="AQ31" s="370"/>
      <c r="AR31" s="370"/>
      <c r="AS31" s="370"/>
      <c r="AT31" s="371"/>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41"/>
      <c r="C32" s="241"/>
      <c r="D32" s="242"/>
      <c r="E32" s="340"/>
      <c r="F32" s="339"/>
      <c r="G32" s="339"/>
      <c r="H32" s="339"/>
      <c r="I32" s="355"/>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69"/>
      <c r="AP32" s="370"/>
      <c r="AQ32" s="370"/>
      <c r="AR32" s="370"/>
      <c r="AS32" s="370"/>
      <c r="AT32" s="371"/>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41"/>
      <c r="C33" s="241"/>
      <c r="D33" s="242"/>
      <c r="E33" s="340"/>
      <c r="F33" s="339"/>
      <c r="G33" s="339"/>
      <c r="H33" s="339"/>
      <c r="I33" s="355"/>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69"/>
      <c r="AP33" s="370"/>
      <c r="AQ33" s="370"/>
      <c r="AR33" s="370"/>
      <c r="AS33" s="370"/>
      <c r="AT33" s="371"/>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41"/>
      <c r="C34" s="241"/>
      <c r="D34" s="242"/>
      <c r="E34" s="340"/>
      <c r="F34" s="339"/>
      <c r="G34" s="339"/>
      <c r="H34" s="339"/>
      <c r="I34" s="355"/>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69"/>
      <c r="AP34" s="370"/>
      <c r="AQ34" s="370"/>
      <c r="AR34" s="370"/>
      <c r="AS34" s="370"/>
      <c r="AT34" s="371"/>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41"/>
      <c r="C35" s="241"/>
      <c r="D35" s="242"/>
      <c r="E35" s="341"/>
      <c r="F35" s="342"/>
      <c r="G35" s="342"/>
      <c r="H35" s="342"/>
      <c r="I35" s="356"/>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72"/>
      <c r="AP35" s="373"/>
      <c r="AQ35" s="373"/>
      <c r="AR35" s="373"/>
      <c r="AS35" s="373"/>
      <c r="AT35" s="374"/>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41"/>
      <c r="C36" s="241"/>
      <c r="D36" s="242"/>
      <c r="E36" s="336" t="s">
        <v>113</v>
      </c>
      <c r="F36" s="337"/>
      <c r="G36" s="337"/>
      <c r="H36" s="337"/>
      <c r="I36" s="337"/>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57" t="s">
        <v>81</v>
      </c>
      <c r="AP36" s="358"/>
      <c r="AQ36" s="358"/>
      <c r="AR36" s="358"/>
      <c r="AS36" s="358"/>
      <c r="AT36" s="359"/>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41"/>
      <c r="C37" s="241"/>
      <c r="D37" s="242"/>
      <c r="E37" s="338"/>
      <c r="F37" s="339"/>
      <c r="G37" s="339"/>
      <c r="H37" s="339"/>
      <c r="I37" s="339"/>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final'!$AD$12="Baja",'Mapa final'!$AF$12="Menor"),CONCATENATE("R2C",'Mapa final'!$S$12),"")</f>
        <v>R2C2</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
      </c>
      <c r="W37" s="60" t="str">
        <f>IF(AND('Mapa final'!$AD$12="Baja",'Mapa final'!$AF$12="Moderado"),CONCATENATE("R2C",'Mapa final'!$S$12),"")</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60"/>
      <c r="AP37" s="361"/>
      <c r="AQ37" s="361"/>
      <c r="AR37" s="361"/>
      <c r="AS37" s="361"/>
      <c r="AT37" s="362"/>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41"/>
      <c r="C38" s="241"/>
      <c r="D38" s="242"/>
      <c r="E38" s="340"/>
      <c r="F38" s="339"/>
      <c r="G38" s="339"/>
      <c r="H38" s="339"/>
      <c r="I38" s="339"/>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60"/>
      <c r="AP38" s="361"/>
      <c r="AQ38" s="361"/>
      <c r="AR38" s="361"/>
      <c r="AS38" s="361"/>
      <c r="AT38" s="362"/>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41"/>
      <c r="C39" s="241"/>
      <c r="D39" s="242"/>
      <c r="E39" s="340"/>
      <c r="F39" s="339"/>
      <c r="G39" s="339"/>
      <c r="H39" s="339"/>
      <c r="I39" s="339"/>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60"/>
      <c r="AP39" s="361"/>
      <c r="AQ39" s="361"/>
      <c r="AR39" s="361"/>
      <c r="AS39" s="361"/>
      <c r="AT39" s="362"/>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41"/>
      <c r="C40" s="241"/>
      <c r="D40" s="242"/>
      <c r="E40" s="340"/>
      <c r="F40" s="339"/>
      <c r="G40" s="339"/>
      <c r="H40" s="339"/>
      <c r="I40" s="339"/>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60"/>
      <c r="AP40" s="361"/>
      <c r="AQ40" s="361"/>
      <c r="AR40" s="361"/>
      <c r="AS40" s="361"/>
      <c r="AT40" s="362"/>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41"/>
      <c r="C41" s="241"/>
      <c r="D41" s="242"/>
      <c r="E41" s="340"/>
      <c r="F41" s="339"/>
      <c r="G41" s="339"/>
      <c r="H41" s="339"/>
      <c r="I41" s="339"/>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60"/>
      <c r="AP41" s="361"/>
      <c r="AQ41" s="361"/>
      <c r="AR41" s="361"/>
      <c r="AS41" s="361"/>
      <c r="AT41" s="362"/>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41"/>
      <c r="C42" s="241"/>
      <c r="D42" s="242"/>
      <c r="E42" s="340"/>
      <c r="F42" s="339"/>
      <c r="G42" s="339"/>
      <c r="H42" s="339"/>
      <c r="I42" s="339"/>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60"/>
      <c r="AP42" s="361"/>
      <c r="AQ42" s="361"/>
      <c r="AR42" s="361"/>
      <c r="AS42" s="361"/>
      <c r="AT42" s="362"/>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41"/>
      <c r="C43" s="241"/>
      <c r="D43" s="242"/>
      <c r="E43" s="340"/>
      <c r="F43" s="339"/>
      <c r="G43" s="339"/>
      <c r="H43" s="339"/>
      <c r="I43" s="339"/>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60"/>
      <c r="AP43" s="361"/>
      <c r="AQ43" s="361"/>
      <c r="AR43" s="361"/>
      <c r="AS43" s="361"/>
      <c r="AT43" s="362"/>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41"/>
      <c r="C44" s="241"/>
      <c r="D44" s="242"/>
      <c r="E44" s="340"/>
      <c r="F44" s="339"/>
      <c r="G44" s="339"/>
      <c r="H44" s="339"/>
      <c r="I44" s="339"/>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60"/>
      <c r="AP44" s="361"/>
      <c r="AQ44" s="361"/>
      <c r="AR44" s="361"/>
      <c r="AS44" s="361"/>
      <c r="AT44" s="362"/>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41"/>
      <c r="C45" s="241"/>
      <c r="D45" s="242"/>
      <c r="E45" s="341"/>
      <c r="F45" s="342"/>
      <c r="G45" s="342"/>
      <c r="H45" s="342"/>
      <c r="I45" s="342"/>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63"/>
      <c r="AP45" s="364"/>
      <c r="AQ45" s="364"/>
      <c r="AR45" s="364"/>
      <c r="AS45" s="364"/>
      <c r="AT45" s="365"/>
    </row>
    <row r="46" spans="1:80" ht="46.5" customHeight="1" x14ac:dyDescent="0.35">
      <c r="A46" s="75"/>
      <c r="B46" s="241"/>
      <c r="C46" s="241"/>
      <c r="D46" s="242"/>
      <c r="E46" s="336" t="s">
        <v>112</v>
      </c>
      <c r="F46" s="337"/>
      <c r="G46" s="337"/>
      <c r="H46" s="337"/>
      <c r="I46" s="354"/>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41"/>
      <c r="C47" s="241"/>
      <c r="D47" s="242"/>
      <c r="E47" s="338"/>
      <c r="F47" s="339"/>
      <c r="G47" s="339"/>
      <c r="H47" s="339"/>
      <c r="I47" s="355"/>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final'!$AD$12="Muy Baja",'Mapa final'!$AF$12="Moderado"),CONCATENATE("R2C",'Mapa final'!$S$12),"")</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final'!$AD$12="Muy Baja",'Mapa final'!$AF$12="Catastrófico"),CONCATENATE("R2C",'Mapa final'!$S$12),"")</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41"/>
      <c r="C48" s="241"/>
      <c r="D48" s="242"/>
      <c r="E48" s="338"/>
      <c r="F48" s="339"/>
      <c r="G48" s="339"/>
      <c r="H48" s="339"/>
      <c r="I48" s="355"/>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41"/>
      <c r="C49" s="241"/>
      <c r="D49" s="242"/>
      <c r="E49" s="340"/>
      <c r="F49" s="339"/>
      <c r="G49" s="339"/>
      <c r="H49" s="339"/>
      <c r="I49" s="355"/>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41"/>
      <c r="C50" s="241"/>
      <c r="D50" s="242"/>
      <c r="E50" s="340"/>
      <c r="F50" s="339"/>
      <c r="G50" s="339"/>
      <c r="H50" s="339"/>
      <c r="I50" s="355"/>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41"/>
      <c r="C51" s="241"/>
      <c r="D51" s="242"/>
      <c r="E51" s="340"/>
      <c r="F51" s="339"/>
      <c r="G51" s="339"/>
      <c r="H51" s="339"/>
      <c r="I51" s="355"/>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41"/>
      <c r="C52" s="241"/>
      <c r="D52" s="242"/>
      <c r="E52" s="340"/>
      <c r="F52" s="339"/>
      <c r="G52" s="339"/>
      <c r="H52" s="339"/>
      <c r="I52" s="355"/>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41"/>
      <c r="C53" s="241"/>
      <c r="D53" s="242"/>
      <c r="E53" s="340"/>
      <c r="F53" s="339"/>
      <c r="G53" s="339"/>
      <c r="H53" s="339"/>
      <c r="I53" s="355"/>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41"/>
      <c r="C54" s="241"/>
      <c r="D54" s="242"/>
      <c r="E54" s="340"/>
      <c r="F54" s="339"/>
      <c r="G54" s="339"/>
      <c r="H54" s="339"/>
      <c r="I54" s="355"/>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41"/>
      <c r="C55" s="241"/>
      <c r="D55" s="242"/>
      <c r="E55" s="341"/>
      <c r="F55" s="342"/>
      <c r="G55" s="342"/>
      <c r="H55" s="342"/>
      <c r="I55" s="356"/>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36" t="s">
        <v>111</v>
      </c>
      <c r="K56" s="337"/>
      <c r="L56" s="337"/>
      <c r="M56" s="337"/>
      <c r="N56" s="337"/>
      <c r="O56" s="354"/>
      <c r="P56" s="336" t="s">
        <v>110</v>
      </c>
      <c r="Q56" s="337"/>
      <c r="R56" s="337"/>
      <c r="S56" s="337"/>
      <c r="T56" s="337"/>
      <c r="U56" s="354"/>
      <c r="V56" s="336" t="s">
        <v>109</v>
      </c>
      <c r="W56" s="337"/>
      <c r="X56" s="337"/>
      <c r="Y56" s="337"/>
      <c r="Z56" s="337"/>
      <c r="AA56" s="354"/>
      <c r="AB56" s="336" t="s">
        <v>108</v>
      </c>
      <c r="AC56" s="375"/>
      <c r="AD56" s="337"/>
      <c r="AE56" s="337"/>
      <c r="AF56" s="337"/>
      <c r="AG56" s="354"/>
      <c r="AH56" s="336" t="s">
        <v>107</v>
      </c>
      <c r="AI56" s="337"/>
      <c r="AJ56" s="337"/>
      <c r="AK56" s="337"/>
      <c r="AL56" s="337"/>
      <c r="AM56" s="354"/>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40"/>
      <c r="K57" s="339"/>
      <c r="L57" s="339"/>
      <c r="M57" s="339"/>
      <c r="N57" s="339"/>
      <c r="O57" s="355"/>
      <c r="P57" s="340"/>
      <c r="Q57" s="339"/>
      <c r="R57" s="339"/>
      <c r="S57" s="339"/>
      <c r="T57" s="339"/>
      <c r="U57" s="355"/>
      <c r="V57" s="340"/>
      <c r="W57" s="339"/>
      <c r="X57" s="339"/>
      <c r="Y57" s="339"/>
      <c r="Z57" s="339"/>
      <c r="AA57" s="355"/>
      <c r="AB57" s="340"/>
      <c r="AC57" s="339"/>
      <c r="AD57" s="339"/>
      <c r="AE57" s="339"/>
      <c r="AF57" s="339"/>
      <c r="AG57" s="355"/>
      <c r="AH57" s="340"/>
      <c r="AI57" s="339"/>
      <c r="AJ57" s="339"/>
      <c r="AK57" s="339"/>
      <c r="AL57" s="339"/>
      <c r="AM57" s="35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40"/>
      <c r="K58" s="339"/>
      <c r="L58" s="339"/>
      <c r="M58" s="339"/>
      <c r="N58" s="339"/>
      <c r="O58" s="355"/>
      <c r="P58" s="340"/>
      <c r="Q58" s="339"/>
      <c r="R58" s="339"/>
      <c r="S58" s="339"/>
      <c r="T58" s="339"/>
      <c r="U58" s="355"/>
      <c r="V58" s="340"/>
      <c r="W58" s="339"/>
      <c r="X58" s="339"/>
      <c r="Y58" s="339"/>
      <c r="Z58" s="339"/>
      <c r="AA58" s="355"/>
      <c r="AB58" s="340"/>
      <c r="AC58" s="339"/>
      <c r="AD58" s="339"/>
      <c r="AE58" s="339"/>
      <c r="AF58" s="339"/>
      <c r="AG58" s="355"/>
      <c r="AH58" s="340"/>
      <c r="AI58" s="339"/>
      <c r="AJ58" s="339"/>
      <c r="AK58" s="339"/>
      <c r="AL58" s="339"/>
      <c r="AM58" s="35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40"/>
      <c r="K59" s="339"/>
      <c r="L59" s="339"/>
      <c r="M59" s="339"/>
      <c r="N59" s="339"/>
      <c r="O59" s="355"/>
      <c r="P59" s="340"/>
      <c r="Q59" s="339"/>
      <c r="R59" s="339"/>
      <c r="S59" s="339"/>
      <c r="T59" s="339"/>
      <c r="U59" s="355"/>
      <c r="V59" s="340"/>
      <c r="W59" s="339"/>
      <c r="X59" s="339"/>
      <c r="Y59" s="339"/>
      <c r="Z59" s="339"/>
      <c r="AA59" s="355"/>
      <c r="AB59" s="340"/>
      <c r="AC59" s="339"/>
      <c r="AD59" s="339"/>
      <c r="AE59" s="339"/>
      <c r="AF59" s="339"/>
      <c r="AG59" s="355"/>
      <c r="AH59" s="340"/>
      <c r="AI59" s="339"/>
      <c r="AJ59" s="339"/>
      <c r="AK59" s="339"/>
      <c r="AL59" s="339"/>
      <c r="AM59" s="35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40"/>
      <c r="K60" s="339"/>
      <c r="L60" s="339"/>
      <c r="M60" s="339"/>
      <c r="N60" s="339"/>
      <c r="O60" s="355"/>
      <c r="P60" s="340"/>
      <c r="Q60" s="339"/>
      <c r="R60" s="339"/>
      <c r="S60" s="339"/>
      <c r="T60" s="339"/>
      <c r="U60" s="355"/>
      <c r="V60" s="340"/>
      <c r="W60" s="339"/>
      <c r="X60" s="339"/>
      <c r="Y60" s="339"/>
      <c r="Z60" s="339"/>
      <c r="AA60" s="355"/>
      <c r="AB60" s="340"/>
      <c r="AC60" s="339"/>
      <c r="AD60" s="339"/>
      <c r="AE60" s="339"/>
      <c r="AF60" s="339"/>
      <c r="AG60" s="355"/>
      <c r="AH60" s="340"/>
      <c r="AI60" s="339"/>
      <c r="AJ60" s="339"/>
      <c r="AK60" s="339"/>
      <c r="AL60" s="339"/>
      <c r="AM60" s="35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76" t="s">
        <v>54</v>
      </c>
      <c r="C1" s="376"/>
      <c r="D1" s="376"/>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77" t="s">
        <v>62</v>
      </c>
      <c r="C1" s="377"/>
      <c r="D1" s="377"/>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78" t="s">
        <v>77</v>
      </c>
      <c r="C1" s="379"/>
      <c r="D1" s="379"/>
      <c r="E1" s="379"/>
      <c r="F1" s="380"/>
    </row>
    <row r="2" spans="2:6" ht="16.5" thickBot="1" x14ac:dyDescent="0.3">
      <c r="B2" s="81"/>
      <c r="C2" s="81"/>
      <c r="D2" s="81"/>
      <c r="E2" s="81"/>
      <c r="F2" s="81"/>
    </row>
    <row r="3" spans="2:6" ht="16.5" thickBot="1" x14ac:dyDescent="0.25">
      <c r="B3" s="382" t="s">
        <v>63</v>
      </c>
      <c r="C3" s="383"/>
      <c r="D3" s="383"/>
      <c r="E3" s="93" t="s">
        <v>64</v>
      </c>
      <c r="F3" s="94" t="s">
        <v>65</v>
      </c>
    </row>
    <row r="4" spans="2:6" ht="31.5" x14ac:dyDescent="0.2">
      <c r="B4" s="384" t="s">
        <v>66</v>
      </c>
      <c r="C4" s="386" t="s">
        <v>13</v>
      </c>
      <c r="D4" s="82" t="s">
        <v>14</v>
      </c>
      <c r="E4" s="83" t="s">
        <v>67</v>
      </c>
      <c r="F4" s="84">
        <v>0.25</v>
      </c>
    </row>
    <row r="5" spans="2:6" ht="47.25" x14ac:dyDescent="0.2">
      <c r="B5" s="385"/>
      <c r="C5" s="387"/>
      <c r="D5" s="85" t="s">
        <v>15</v>
      </c>
      <c r="E5" s="86" t="s">
        <v>68</v>
      </c>
      <c r="F5" s="87">
        <v>0.15</v>
      </c>
    </row>
    <row r="6" spans="2:6" ht="47.25" x14ac:dyDescent="0.2">
      <c r="B6" s="385"/>
      <c r="C6" s="387"/>
      <c r="D6" s="85" t="s">
        <v>16</v>
      </c>
      <c r="E6" s="86" t="s">
        <v>69</v>
      </c>
      <c r="F6" s="87">
        <v>0.1</v>
      </c>
    </row>
    <row r="7" spans="2:6" ht="63" x14ac:dyDescent="0.2">
      <c r="B7" s="385"/>
      <c r="C7" s="387" t="s">
        <v>17</v>
      </c>
      <c r="D7" s="85" t="s">
        <v>10</v>
      </c>
      <c r="E7" s="86" t="s">
        <v>70</v>
      </c>
      <c r="F7" s="87">
        <v>0.25</v>
      </c>
    </row>
    <row r="8" spans="2:6" ht="31.5" x14ac:dyDescent="0.2">
      <c r="B8" s="385"/>
      <c r="C8" s="387"/>
      <c r="D8" s="85" t="s">
        <v>9</v>
      </c>
      <c r="E8" s="86" t="s">
        <v>71</v>
      </c>
      <c r="F8" s="87">
        <v>0.15</v>
      </c>
    </row>
    <row r="9" spans="2:6" ht="47.25" x14ac:dyDescent="0.2">
      <c r="B9" s="385" t="s">
        <v>159</v>
      </c>
      <c r="C9" s="387" t="s">
        <v>18</v>
      </c>
      <c r="D9" s="85" t="s">
        <v>19</v>
      </c>
      <c r="E9" s="86" t="s">
        <v>72</v>
      </c>
      <c r="F9" s="88" t="s">
        <v>73</v>
      </c>
    </row>
    <row r="10" spans="2:6" ht="63" x14ac:dyDescent="0.2">
      <c r="B10" s="385"/>
      <c r="C10" s="387"/>
      <c r="D10" s="85" t="s">
        <v>20</v>
      </c>
      <c r="E10" s="86" t="s">
        <v>74</v>
      </c>
      <c r="F10" s="88" t="s">
        <v>73</v>
      </c>
    </row>
    <row r="11" spans="2:6" ht="47.25" x14ac:dyDescent="0.2">
      <c r="B11" s="385"/>
      <c r="C11" s="387" t="s">
        <v>21</v>
      </c>
      <c r="D11" s="85" t="s">
        <v>22</v>
      </c>
      <c r="E11" s="86" t="s">
        <v>75</v>
      </c>
      <c r="F11" s="88" t="s">
        <v>73</v>
      </c>
    </row>
    <row r="12" spans="2:6" ht="47.25" x14ac:dyDescent="0.2">
      <c r="B12" s="385"/>
      <c r="C12" s="387"/>
      <c r="D12" s="85" t="s">
        <v>23</v>
      </c>
      <c r="E12" s="86" t="s">
        <v>76</v>
      </c>
      <c r="F12" s="88" t="s">
        <v>73</v>
      </c>
    </row>
    <row r="13" spans="2:6" ht="31.5" x14ac:dyDescent="0.2">
      <c r="B13" s="385"/>
      <c r="C13" s="387" t="s">
        <v>24</v>
      </c>
      <c r="D13" s="85" t="s">
        <v>118</v>
      </c>
      <c r="E13" s="86" t="s">
        <v>121</v>
      </c>
      <c r="F13" s="88" t="s">
        <v>73</v>
      </c>
    </row>
    <row r="14" spans="2:6" ht="32.25" thickBot="1" x14ac:dyDescent="0.25">
      <c r="B14" s="388"/>
      <c r="C14" s="389"/>
      <c r="D14" s="89" t="s">
        <v>119</v>
      </c>
      <c r="E14" s="90" t="s">
        <v>120</v>
      </c>
      <c r="F14" s="91" t="s">
        <v>73</v>
      </c>
    </row>
    <row r="15" spans="2:6" ht="49.5" customHeight="1" x14ac:dyDescent="0.2">
      <c r="B15" s="381" t="s">
        <v>156</v>
      </c>
      <c r="C15" s="381"/>
      <c r="D15" s="381"/>
      <c r="E15" s="381"/>
      <c r="F15" s="381"/>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5D1493-199D-434E-8F05-8B4565D298F3}">
  <ds:schemaRef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b55ffc4c-b392-4610-b856-514911c59727"/>
    <ds:schemaRef ds:uri="http://purl.org/dc/terms/"/>
    <ds:schemaRef ds:uri="1127acbe-e978-470f-969f-333cb0dcd145"/>
    <ds:schemaRef ds:uri="http://www.w3.org/XML/1998/namespace"/>
    <ds:schemaRef ds:uri="http://purl.org/dc/dcmitype/"/>
  </ds:schemaRefs>
</ds:datastoreItem>
</file>

<file path=customXml/itemProps2.xml><?xml version="1.0" encoding="utf-8"?>
<ds:datastoreItem xmlns:ds="http://schemas.openxmlformats.org/officeDocument/2006/customXml" ds:itemID="{4084ED3E-9BFE-44A8-8929-3C6D8A31E645}">
  <ds:schemaRefs>
    <ds:schemaRef ds:uri="http://schemas.microsoft.com/sharepoint/v3/contenttype/forms"/>
  </ds:schemaRefs>
</ds:datastoreItem>
</file>

<file path=customXml/itemProps3.xml><?xml version="1.0" encoding="utf-8"?>
<ds:datastoreItem xmlns:ds="http://schemas.openxmlformats.org/officeDocument/2006/customXml" ds:itemID="{BF68E3DB-6857-4370-9896-811DBE2E9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2023-12-06T22:42:44Z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