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8" documentId="11_62EF9791E777A53F59F667834DA56693A7AC50E5" xr6:coauthVersionLast="47" xr6:coauthVersionMax="47" xr10:uidLastSave="{E59EA581-AC8C-42C4-B6EC-DFB2E100AECF}"/>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 i="1" l="1"/>
  <c r="V12" i="1" l="1"/>
  <c r="AC12" i="1" s="1"/>
  <c r="AD12" i="1" s="1"/>
  <c r="AE12" i="1" l="1"/>
  <c r="L18" i="1"/>
  <c r="Y11" i="1" l="1"/>
  <c r="Y13" i="1"/>
  <c r="V13" i="1"/>
  <c r="L13" i="1"/>
  <c r="M13" i="1" l="1"/>
  <c r="AC13" i="1" s="1"/>
  <c r="AD13" i="1" s="1"/>
  <c r="AE13" i="1" l="1"/>
  <c r="F221" i="13"/>
  <c r="F211" i="13"/>
  <c r="F212" i="13"/>
  <c r="F213" i="13"/>
  <c r="F214" i="13"/>
  <c r="F215" i="13"/>
  <c r="F216" i="13"/>
  <c r="F217" i="13"/>
  <c r="F218" i="13"/>
  <c r="F219" i="13"/>
  <c r="F220" i="13"/>
  <c r="F210" i="13"/>
  <c r="B221" i="13" a="1"/>
  <c r="B221" i="13" l="1"/>
  <c r="O11" i="1" l="1"/>
  <c r="P11" i="1" s="1"/>
  <c r="O13" i="1"/>
  <c r="O12" i="1"/>
  <c r="P12"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P13" i="1" l="1"/>
  <c r="R13" i="1" s="1"/>
  <c r="R12" i="1"/>
  <c r="Q12" i="1"/>
  <c r="AG12" i="1" s="1"/>
  <c r="AF12" i="1" s="1"/>
  <c r="AH12" i="1" s="1"/>
  <c r="L11" i="1"/>
  <c r="V11" i="1"/>
  <c r="Q13" i="1" l="1"/>
  <c r="AG13" i="1" s="1"/>
  <c r="AF13" i="1" s="1"/>
  <c r="AH13" i="1" s="1"/>
  <c r="M11" i="1"/>
  <c r="AC11" i="1" s="1"/>
  <c r="AD11" i="1" l="1"/>
  <c r="AE11"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11" i="1"/>
  <c r="R38" i="18"/>
  <c r="AJ38" i="18"/>
  <c r="L38" i="18"/>
  <c r="AD6" i="18"/>
  <c r="R6" i="18"/>
  <c r="AJ30" i="18"/>
  <c r="R30" i="18"/>
  <c r="AD22" i="18"/>
  <c r="AJ14" i="18"/>
  <c r="AJ22" i="18"/>
  <c r="AD14" i="18"/>
  <c r="X38" i="18"/>
  <c r="X14" i="18"/>
  <c r="R22" i="18"/>
  <c r="X22" i="18"/>
  <c r="Q11"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G11" i="1" l="1"/>
  <c r="AF11"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H11" i="1"/>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<sst xmlns="http://schemas.openxmlformats.org/spreadsheetml/2006/main" count="430" uniqueCount="284">
  <si>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</si>
  <si>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</si>
  <si>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</si>
  <si>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</si>
  <si>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</si>
  <si>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</si>
  <si>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</si>
  <si>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</si>
  <si>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</si>
  <si>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</si>
  <si>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</si>
  <si>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</si>
  <si>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</si>
  <si>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</si>
  <si>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</si>
  <si>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</si>
  <si>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</si>
  <si>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</si>
  <si>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</si>
  <si>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</si>
  <si>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</si>
  <si>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</si>
  <si>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</si>
  <si>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</si>
  <si>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</si>
  <si>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</si>
  <si>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</si>
  <si>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</si>
  <si>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</si>
  <si>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</si>
  <si>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</si>
  <si>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</si>
  <si>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</si>
  <si>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</si>
  <si>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</si>
  <si>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</si>
  <si>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</si>
  <si>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</si>
  <si>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</si>
  <si>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</si>
  <si>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</si>
  <si>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</si>
  <si>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</si>
  <si>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</si>
  <si>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</si>
  <si>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</si>
  <si>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</si>
  <si>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</si>
  <si>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</si>
  <si>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</si>
  <si>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</si>
  <si>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</si>
  <si>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</si>
  <si>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</si>
  <si>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</si>
  <si>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</si>
  <si>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</si>
  <si>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</si>
  <si>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</si>
  <si>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</si>
  <si>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</si>
  <si>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</si>
  <si>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</si>
  <si>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</si>
  <si>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</si>
  <si>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</si>
  <si>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</si>
  <si>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</si>
  <si>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</si>
  <si>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</si>
  <si>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</si>
  <si>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</si>
  <si>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</si>
  <si>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</si>
  <si>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</si>
  <si>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</si>
  <si>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</si>
  <si>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</si>
  <si>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</si>
  <si>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</si>
  <si>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</si>
  <si>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</si>
  <si>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</si>
  <si>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</si>
  <si>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</si>
  <si>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</si>
  <si>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</si>
  <si>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</si>
  <si>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</si>
  <si>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</si>
  <si>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</si>
  <si>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</si>
  <si>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</si>
  <si>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</si>
  <si>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</si>
  <si>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</si>
  <si>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</si>
  <si>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</si>
  <si>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</si>
  <si>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</si>
  <si>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</si>
  <si>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</si>
  <si>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</si>
  <si>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</si>
  <si>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</si>
  <si>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</si>
  <si>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</si>
  <si>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</si>
  <si>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</si>
  <si>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</si>
  <si>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</si>
  <si>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</si>
  <si>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</si>
  <si>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</si>
  <si>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</si>
  <si>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</si>
  <si>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</si>
  <si>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</si>
  <si>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</si>
  <si>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</si>
  <si>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</si>
  <si>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</si>
  <si>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</si>
  <si>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</si>
  <si>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</si>
  <si>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</si>
  <si>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</si>
  <si>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</si>
  <si>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</si>
  <si>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</si>
  <si>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</si>
  <si>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</si>
  <si>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</si>
  <si>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</si>
  <si>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</si>
  <si>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</si>
  <si>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</si>
  <si>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</si>
  <si>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</si>
  <si>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</si>
  <si>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</si>
  <si>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</si>
  <si>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</si>
  <si>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</si>
  <si>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</si>
  <si>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</si>
  <si>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</si>
  <si>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</si>
  <si>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</si>
  <si>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</si>
  <si>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</si>
  <si>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</si>
  <si>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</si>
  <si>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</si>
  <si>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</si>
  <si>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</si>
  <si>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</si>
  <si>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</si>
  <si>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</si>
  <si>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</si>
  <si>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</si>
  <si>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</si>
  <si>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</si>
  <si>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</si>
  <si>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</si>
  <si>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</si>
  <si>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</si>
  <si>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</si>
  <si>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</si>
  <si>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</si>
  <si>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</si>
  <si>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</si>
  <si>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</si>
  <si>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</si>
  <si>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</si>
  <si>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</si>
  <si>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</si>
  <si>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</si>
  <si>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</si>
  <si>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</si>
  <si>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</si>
  <si>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</si>
  <si>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</si>
  <si>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</si>
  <si>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</si>
  <si>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</si>
  <si>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</si>
  <si>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</si>
  <si>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</si>
  <si>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</si>
  <si>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</si>
  <si>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</si>
  <si>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</si>
  <si>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</si>
  <si>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</si>
  <si>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</si>
  <si>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</si>
  <si>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</si>
  <si>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</si>
  <si>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</si>
  <si>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</si>
  <si>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</si>
  <si>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</si>
  <si>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</si>
  <si>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</si>
  <si>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</si>
  <si>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</si>
  <si>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</si>
  <si>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</si>
  <si>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</si>
  <si>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</si>
  <si>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</si>
  <si>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</si>
  <si>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</si>
  <si>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</si>
  <si>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</si>
  <si>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</si>
  <si>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</si>
  <si>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</si>
  <si>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</si>
  <si>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</si>
  <si>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</si>
  <si>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</si>
  <si>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</si>
  <si>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</si>
  <si>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</si>
  <si>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</si>
  <si>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</si>
  <si>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</si>
  <si>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</si>
  <si>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</si>
  <si>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</si>
  <si>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</si>
  <si>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</si>
  <si>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</si>
  <si>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</si>
  <si>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</si>
  <si>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</si>
  <si>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</si>
  <si>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</si>
  <si>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</si>
  <si>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</si>
  <si>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</si>
  <si>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</si>
  <si>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</si>
  <si>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</si>
  <si>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</si>
  <si>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</si>
  <si>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</si>
  <si>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</si>
  <si>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</si>
  <si>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</si>
  <si>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</si>
  <si>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</si>
  <si>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ADQUISICIONES</t>
  </si>
  <si>
    <t xml:space="preserve">Apoyar la  adquisición de bienes y servicios requeridos por la Escuela Tecnológica Instituto Técnico Central. </t>
  </si>
  <si>
    <t>Apoyo a las áreas de la Escuela Tecnológica Instituto Técnico Central para la selección objetiva, para la adquisición de bienes y/o servicios con el uso de las herramientas
públicas de contratación.</t>
  </si>
  <si>
    <t xml:space="preserve">Inadecuada adjudicacion del proceso de selección del contrato </t>
  </si>
  <si>
    <t>Evaluación subjetiva en la verificación de los requisitos contractuales. Inadecuada aplicación de la normatividad vigente, manual de contratación y procedimientos asociados.</t>
  </si>
  <si>
    <t>Los cronogramas de los procesos a la fecha se cumplieron. Y dicho cumplimiento fue vigilado por el el Comité de Contratación de la entidad, quienes aprueban los procesos, las evaluaciones y recomiendan al Rector la publicación de los informes en la Platafroma Secop II. Por lo anterior, el riesgo no se materializó.</t>
  </si>
  <si>
    <t>Se cumplió con el control propuesto toda vez que, cada estudio previo se radicó en el área de Contratación con la aprobación de la vicerrectoría a la cual depende el área solicitante del proceso. Adicionalmente, se encuentra soportado en cada proceso la evaluación de cracter técnico, económico y jurídico para cada caso. De igual manera, se procedió a la  aplicación del Decreto 1860 de 2021 en cada porceso de contratación. Por lo anterior, el riesgo no se materializó.</t>
  </si>
  <si>
    <t>Posibilidad de afectación económica y reputacional por inadecuada adjudicacion del proceso de selección del contrato debido a evaluación subjetiva de requisitos contractuales por inaplicación de norma.</t>
  </si>
  <si>
    <t>Verificar el cumplimiento de los proponentes en cada proceso de acuerdo a la lista de chequeo dispuesta para cada modalidad contractual, así como verificar el marco normativo aplicable para realizar la contratación, teniendo en cuenta los criterios técnicos, económicos y jurídicos que aplican para cada modalidad de contratación.</t>
  </si>
  <si>
    <t>Informes de evaluación parcial y denifitivo de los procesos de contratación, y acta de aprobación de los informes por parte del Comité de Contratación</t>
  </si>
  <si>
    <t>Incumplimiento en la publicación de información contractual dentro de los términos establecidos por la ley</t>
  </si>
  <si>
    <t>Posibilidad de afectación económica y reputacional por incumplimiento en la publicación de información contractual dentro de los términos establecidos por la ley debido a falta de rigurosidad en la aplicación de los parámetros establecidos por Colombia Compra Eficiente para la publicación de la información contractual.</t>
  </si>
  <si>
    <t>Falta de rigurosidad en la aplicación de los parámetros establecidos por Colombia Compra Eficiente para la publicación de la información contractual.</t>
  </si>
  <si>
    <t>Capacitar de manera continúa a los supervisores</t>
  </si>
  <si>
    <t>Establecer cronograma por cada proceso de contratación y hacer seguimiento al mismo, así como notificar a los supervisores una vez inicie el contrato, para la publicación oportuna de la información contractual.</t>
  </si>
  <si>
    <t>Informe presentado en los comités de contratación.
Correos electrónicos de notificación a los supervisores.</t>
  </si>
  <si>
    <t xml:space="preserve">El área de Contratación realizó seguimiento al cumplimiento del cronograma mediante la matriz de seguimiento procesos contratación, se realizan reuniones de seguimiento quincenal o semanalmente, según las cargas de trabajo.
Para el periodo de reporte (mayo a julio), se publicaron 51 procesos a los cuales se realizó seguimiento a la publicación de información contractual en términos de Ley. </t>
  </si>
  <si>
    <t xml:space="preserve">inadecuada supervisión en el seguimiento de la ejecución de los contratos/convenios de acuerdo con la normatividad legal vigente
</t>
  </si>
  <si>
    <t>Desconocimiento de lo dispuesto en la normatividad relacionada con supervisión de contratos</t>
  </si>
  <si>
    <t>Posibilidad de afectación económica y reputacional por inadecuada supervisión en el seguimiento de la ejecución de los contratos/convenios de acuerdo con la normatividad legal vigente debido a desconocimiento de lo dispuesto en la normatividad relacionada con supervisión de contratos</t>
  </si>
  <si>
    <t>Realizar y evalúar capacitaciones a principio de la vigencia en las cuales se explique y se ahonde sobre las funciones del supervisor, las modalidades de contratación y las etapas contractuales. Adicionalmente, verificar que la documentación de ejecución del contrato/ convenio se encuentra publicado en la plataforma SECOP II.</t>
  </si>
  <si>
    <t xml:space="preserve">Listados de asistencia y soportes de evaluación.
Correos electrónicos en los cuales se indique al supervisor las acciones a tomar una vez puesto en ejecución el contrato. </t>
  </si>
  <si>
    <t>Para el periodo de reporte (mayo a julio) no se realizaron capacitaciones, se realizó a inicio de la vigencia, se programa realizar una nueva aproximadamente en septiembre.
La notificación de inicio de contratos mediante correo electrónico se realizará a partir del 1º de agosto.</t>
  </si>
  <si>
    <r>
      <rPr>
        <b/>
        <sz val="14"/>
        <rFont val="Arial Narrow"/>
        <family val="2"/>
      </rPr>
      <t>LIDER DEL PROCESO:</t>
    </r>
    <r>
      <rPr>
        <sz val="14"/>
        <rFont val="Arial Narrow"/>
        <family val="2"/>
      </rPr>
      <t xml:space="preserve"> Diana Rocío Guerrero Rodríguez</t>
    </r>
  </si>
  <si>
    <t>Para el periodo de reporte (mayo a julio), se han llevado a cabo 11 Comités de Contratación donde se realizó la aprobación de evaluaciones definitivas de procesos contractuales.
Se aprobaron un total de 40 evaluaciones definitivas de procesos contractuales.
Como soporte de lo anterior, el área responsable presenta las actas del Comité, así como los informes de evaluación definitiva de pasajes y transporte de carga, de igual modo, reporta que el riesgo no se ha materializado.</t>
  </si>
  <si>
    <t>No se cuenta con el seguimiento efectuado</t>
  </si>
  <si>
    <t xml:space="preserve">Mediante el seguimiento efectuado se identifico que el proceso cuenta con el correo remitido el dia 2 de noviembre de 2022 al supervisor del contrato 266-2022, con la solicitud de adelantar las acciones necesarias para la publicacion del acta de inicio del contrato, asi mismo esta copiado al asesor de la rectoria el 3 de noviembre de 2022. actividad que se realiza permanentemente. adicionalmente se reviso la notificacion de suèrvision del contrato 233 de 2022. el cual cuenta con el correo 14 de septiembre de 2022 con documento de notificacion el dia 7 de septiembre de 2022. sin embargo, recientemente se han tomado acciones de fortalecimiento de supervision de contratos con la remision del paquete de documentos que se requieren para llevar a cabo la correcta supervisión,  actividades que contribuyen con la mitigacion del riesgo identificado.
Sin embargo, a la fecha no se cuenta con el adelanto de la actividad propuesta para la jornada de capacitacion sin embargo desde el area de TH se remitio correo del 3 de noviembre convocando para el 18 de noviembre en cuanto a la jornada de reinducciòn por lo cual no es posible realizarla ya que se encuentra un cruce de actividad con la rectoria, asi mismo, se cuenta con el correo de fecha remitido el dia 22 de septiembre para programar jornada de capacitacion en el mes de octubre, sin embargo no fue respondido.
sin embargo, se evidencio el cumplimineto de la jornada de capacitacion a los supervisores el dia 22 de febrero de 2022 modalidades de contrataciòn y el dia 23 de febrero fucniones y responsabilidades de supervision de contrato, de acuerdo con la circular Nª 5 del 21 de febrero de 2022. </t>
  </si>
  <si>
    <t xml:space="preserve">Por medio del seguimiento efectuado se observa la IP-052-2022 del 21 de septiembre de 2022 cuyo objeto contractual es la “COMPRA DE 400 LICENCIAS DEL ANTIVIRUS ESET ENPOINT PROTEC ENTRY ON PREMISE E ISL ONLINE ON -PREMISES - (1) AÑO DE MANTENIMIENTO Y SOPORTE" cuyo contrato suscrito fue el 255 de 2022, evidenciando que el acta se encuentra debidamente publicada en el aplicativo SECOP II. Así mismo, se evidencio el reporte del mes de septiembre publicado en SIRECI con 29 contratos suscritos. se revisó aleatoriamente el contrato 246 de 2022 cuyo proceso publicado fue con la IP-0502-2022 de los cuales se observó la calificación preliminar del 15 de septiembre de 2022 y definitiva de la misma fecha, observando el informe de evaluación la cual cuenta con la identificación de los proponentes presentados, de igual modo, la adjudicación al proponente asesores y consultores G&amp;S SAS, y finalmente, se evidencia la firma de los miembros del comité de contratación.  </t>
  </si>
  <si>
    <t>Mediante el seguimiento adelantado se revisó el cronograma de la IP-050-2022 en los pliegos de condiciones, iniciando el 26 de agosto de 2022, con  aceptación del  13 de septiembre de 2022, observando el cumplimiento con la publicación del informe definitivo en el cual se indica la fecha 13 de septiembre de 2022 debidamente aprobada y firmada por los integrantes del comité de contratación. así mismo, se observó la adjudicación del contrato 256 de 2022, de otra parte, se observa mediante muestra aleatoria el proceso de subasta inversa, publicado con el numero SIE-006-2022 el cual inicia el 16 de agosto de 2022, cuya adjudicación fue el día 19 de septiembre de 2022, el cual cuenta con adenda para adjudicarse el día 21 de septiembre de 2022. de igual forma, se cuenta con el correo de designación de supervisión, así como el paquete de aprobación de pólizas de fecha 5 de octubre de 2022. donde se adjuntan documentos como: designación de supervisión, acta de aprobación de pólizas, registro presupuestal, contrato en PDF, resolución de adjudicación, clausulado del contrato, manual de contratación, guía de CCE para el ejercicio de supervisión. actividades que contribuyen con la mitigación del riesgo identificado.</t>
  </si>
  <si>
    <t>Fecha de actualización 16/11/2022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</si>
</sst>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370">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1" fillId="7" borderId="21" xfId="0" applyFont="1" applyFill="1" applyBorder="1" applyAlignment="1">
      <alignment horizontal="center" vertical="center" textRotation="9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69" xfId="0" applyFont="1" applyBorder="1" applyAlignment="1">
      <alignment horizontal="center" vertical="center" wrapText="1"/>
    </xf>
    <xf numFmtId="0" fontId="65" fillId="0" borderId="69" xfId="0" applyFont="1" applyBorder="1" applyAlignment="1">
      <alignment vertical="center" wrapText="1"/>
    </xf>
    <xf numFmtId="0" fontId="1" fillId="0" borderId="2" xfId="0" applyFont="1" applyBorder="1" applyAlignment="1">
      <alignment horizontal="center" vertical="center"/>
    </xf>
    <xf numFmtId="0" fontId="51"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vertical="top" wrapText="1"/>
      <protection hidden="1"/>
    </xf>
    <xf numFmtId="0" fontId="1" fillId="0" borderId="21" xfId="0" applyFont="1" applyBorder="1" applyAlignment="1" applyProtection="1">
      <alignment horizontal="left" vertical="center" wrapText="1"/>
      <protection locked="0"/>
    </xf>
    <xf numFmtId="0" fontId="6" fillId="0" borderId="21" xfId="0" applyFont="1" applyBorder="1" applyAlignment="1" applyProtection="1">
      <alignment horizontal="justify" vertical="center" wrapText="1"/>
      <protection locked="0"/>
    </xf>
    <xf numFmtId="0" fontId="6" fillId="0" borderId="21" xfId="0" applyFont="1" applyBorder="1" applyAlignment="1" applyProtection="1">
      <alignment horizontal="left" vertical="center" wrapText="1"/>
      <protection locked="0"/>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57" fillId="0" borderId="21" xfId="0" applyFont="1" applyBorder="1" applyAlignment="1">
      <alignment horizontal="left" vertical="center"/>
    </xf>
    <xf numFmtId="0" fontId="61" fillId="7" borderId="21" xfId="0" applyFont="1" applyFill="1" applyBorder="1" applyAlignment="1">
      <alignment horizontal="center" vertical="center" wrapText="1"/>
    </xf>
    <xf numFmtId="0" fontId="62" fillId="0" borderId="67" xfId="0" applyFont="1" applyBorder="1" applyAlignment="1">
      <alignment horizontal="left" vertical="center"/>
    </xf>
    <xf numFmtId="0" fontId="62" fillId="0" borderId="66" xfId="0" applyFont="1" applyBorder="1" applyAlignment="1">
      <alignment horizontal="left" vertical="center"/>
    </xf>
    <xf numFmtId="0" fontId="62" fillId="0" borderId="68" xfId="0" applyFont="1" applyBorder="1" applyAlignment="1">
      <alignment horizontal="left" vertical="center"/>
    </xf>
    <xf numFmtId="0" fontId="62" fillId="0" borderId="67" xfId="0" applyFont="1" applyBorder="1" applyAlignment="1">
      <alignment vertical="center"/>
    </xf>
    <xf numFmtId="0" fontId="62" fillId="0" borderId="66" xfId="0" applyFont="1" applyBorder="1" applyAlignment="1">
      <alignment vertical="center"/>
    </xf>
    <xf numFmtId="0" fontId="62" fillId="0" borderId="68" xfId="0" applyFont="1" applyBorder="1" applyAlignment="1">
      <alignment vertical="center"/>
    </xf>
    <xf numFmtId="0" fontId="61" fillId="7" borderId="21" xfId="0" applyFont="1" applyFill="1" applyBorder="1" applyAlignment="1">
      <alignment horizontal="center" vertical="center" textRotation="90" wrapText="1"/>
    </xf>
    <xf numFmtId="0" fontId="59" fillId="0" borderId="21" xfId="0" applyFont="1" applyBorder="1" applyAlignment="1" applyProtection="1">
      <alignment horizontal="center" wrapText="1"/>
      <protection locked="0"/>
    </xf>
    <xf numFmtId="0" fontId="61" fillId="7" borderId="21" xfId="0" applyFont="1" applyFill="1" applyBorder="1" applyAlignment="1">
      <alignment horizontal="center" vertical="center"/>
    </xf>
    <xf numFmtId="0" fontId="61" fillId="7" borderId="22" xfId="0" applyFont="1" applyFill="1" applyBorder="1" applyAlignment="1">
      <alignment horizontal="center" vertical="center"/>
    </xf>
    <xf numFmtId="0" fontId="61" fillId="7" borderId="21" xfId="0" applyFont="1" applyFill="1" applyBorder="1" applyAlignment="1">
      <alignment horizontal="center" vertical="center" textRotation="90"/>
    </xf>
    <xf numFmtId="0" fontId="58" fillId="0" borderId="21" xfId="0" applyFont="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64" fillId="0" borderId="21" xfId="0" applyFont="1" applyBorder="1" applyAlignment="1">
      <alignment horizontal="left" vertical="center" wrapText="1"/>
    </xf>
    <xf numFmtId="0" fontId="65" fillId="0" borderId="69" xfId="0" applyFont="1" applyBorder="1" applyAlignment="1">
      <alignment horizontal="center" vertical="center" wrapText="1"/>
    </xf>
    <xf numFmtId="0" fontId="66" fillId="0" borderId="69" xfId="0" applyFont="1" applyBorder="1" applyAlignment="1">
      <alignment horizontal="center" vertical="center" wrapText="1"/>
    </xf>
    <xf numFmtId="0" fontId="49" fillId="0" borderId="67" xfId="0" applyFont="1" applyBorder="1" applyAlignment="1">
      <alignment horizontal="left" vertical="center" wrapText="1"/>
    </xf>
    <xf numFmtId="0" fontId="49" fillId="0" borderId="66" xfId="0" applyFont="1" applyBorder="1" applyAlignment="1">
      <alignment horizontal="left" vertical="center" wrapText="1"/>
    </xf>
    <xf numFmtId="0" fontId="49" fillId="0" borderId="68" xfId="0" applyFont="1" applyBorder="1" applyAlignment="1">
      <alignment horizontal="left" vertical="center" wrapText="1"/>
    </xf>
    <xf numFmtId="0" fontId="61" fillId="7" borderId="63" xfId="0" applyFont="1" applyFill="1" applyBorder="1" applyAlignment="1">
      <alignment horizontal="center" vertical="center"/>
    </xf>
    <xf numFmtId="0" fontId="61" fillId="7" borderId="57" xfId="0" applyFont="1" applyFill="1" applyBorder="1" applyAlignment="1">
      <alignment horizontal="center" vertical="center"/>
    </xf>
    <xf numFmtId="0" fontId="60" fillId="7" borderId="67" xfId="0" applyFont="1" applyFill="1" applyBorder="1" applyAlignment="1">
      <alignment horizontal="center" vertical="center"/>
    </xf>
    <xf numFmtId="0" fontId="60" fillId="7" borderId="68" xfId="0" applyFont="1" applyFill="1" applyBorder="1" applyAlignment="1">
      <alignment horizontal="center" vertical="center"/>
    </xf>
    <xf numFmtId="0" fontId="25"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0" xfId="0" applyFont="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10" xfId="0" applyFont="1" applyBorder="1" applyAlignment="1">
      <alignment horizontal="center" vertical="center"/>
    </xf>
    <xf numFmtId="0" fontId="42" fillId="0" borderId="12" xfId="0" applyFont="1" applyBorder="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7" xfId="0" applyFont="1" applyBorder="1" applyAlignment="1">
      <alignment horizontal="center" vertical="center" wrapText="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705469</xdr:colOff>
      <xdr:row>0</xdr:row>
      <xdr:rowOff>35567</xdr:rowOff>
    </xdr:from>
    <xdr:to>
      <xdr:col>2</xdr:col>
      <xdr:colOff>692087</xdr:colOff>
      <xdr:row>1</xdr:row>
      <xdr:rowOff>302927</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198" y="35567"/>
          <a:ext cx="811371" cy="75145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3" zoomScale="130" zoomScaleNormal="130" workbookViewId="0">
      <selection activeCell="C37" sqref="C37:D37"/>
    </sheetView>
  </sheetViews>
  <sheetFormatPr baseColWidth="10" defaultColWidth="11.42578125" defaultRowHeight="15" x14ac:dyDescent="0.25"/>
  <cols>
    <col min="1" max="1" width="2.85546875" style="75" customWidth="1"/>
    <col min="2" max="3" width="24.5703125" style="75" customWidth="1"/>
    <col min="4" max="4" width="16" style="75" customWidth="1"/>
    <col min="5" max="5" width="24.5703125" style="75" customWidth="1"/>
    <col min="6" max="6" width="27.5703125" style="75" customWidth="1"/>
    <col min="7" max="8" width="24.5703125" style="75" customWidth="1"/>
    <col min="9" max="16384" width="11.42578125" style="75"/>
  </cols>
  <sheetData>
    <row r="1" spans="2:8" ht="15.75" thickBot="1" x14ac:dyDescent="0.3"/>
    <row r="2" spans="2:8" ht="18" x14ac:dyDescent="0.25">
      <c r="B2" s="155" t="s">
        <v>163</v>
      </c>
      <c r="C2" s="156"/>
      <c r="D2" s="156"/>
      <c r="E2" s="156"/>
      <c r="F2" s="156"/>
      <c r="G2" s="156"/>
      <c r="H2" s="157"/>
    </row>
    <row r="3" spans="2:8" x14ac:dyDescent="0.25">
      <c r="B3" s="76"/>
      <c r="C3" s="77"/>
      <c r="D3" s="77"/>
      <c r="E3" s="77"/>
      <c r="F3" s="77"/>
      <c r="G3" s="77"/>
      <c r="H3" s="78"/>
    </row>
    <row r="4" spans="2:8" ht="63" customHeight="1" x14ac:dyDescent="0.25">
      <c r="B4" s="158" t="s">
        <v>206</v>
      </c>
      <c r="C4" s="159"/>
      <c r="D4" s="159"/>
      <c r="E4" s="159"/>
      <c r="F4" s="159"/>
      <c r="G4" s="159"/>
      <c r="H4" s="160"/>
    </row>
    <row r="5" spans="2:8" ht="63" customHeight="1" x14ac:dyDescent="0.25">
      <c r="B5" s="161"/>
      <c r="C5" s="162"/>
      <c r="D5" s="162"/>
      <c r="E5" s="162"/>
      <c r="F5" s="162"/>
      <c r="G5" s="162"/>
      <c r="H5" s="163"/>
    </row>
    <row r="6" spans="2:8" ht="16.5" x14ac:dyDescent="0.25">
      <c r="B6" s="164" t="s">
        <v>161</v>
      </c>
      <c r="C6" s="165"/>
      <c r="D6" s="165"/>
      <c r="E6" s="165"/>
      <c r="F6" s="165"/>
      <c r="G6" s="165"/>
      <c r="H6" s="166"/>
    </row>
    <row r="7" spans="2:8" ht="95.25" customHeight="1" x14ac:dyDescent="0.25">
      <c r="B7" s="174" t="s">
        <v>166</v>
      </c>
      <c r="C7" s="175"/>
      <c r="D7" s="175"/>
      <c r="E7" s="175"/>
      <c r="F7" s="175"/>
      <c r="G7" s="175"/>
      <c r="H7" s="176"/>
    </row>
    <row r="8" spans="2:8" ht="16.5" x14ac:dyDescent="0.25">
      <c r="B8" s="112"/>
      <c r="C8" s="113"/>
      <c r="D8" s="113"/>
      <c r="E8" s="113"/>
      <c r="F8" s="113"/>
      <c r="G8" s="113"/>
      <c r="H8" s="114"/>
    </row>
    <row r="9" spans="2:8" ht="16.5" customHeight="1" x14ac:dyDescent="0.25">
      <c r="B9" s="167" t="s">
        <v>199</v>
      </c>
      <c r="C9" s="168"/>
      <c r="D9" s="168"/>
      <c r="E9" s="168"/>
      <c r="F9" s="168"/>
      <c r="G9" s="168"/>
      <c r="H9" s="169"/>
    </row>
    <row r="10" spans="2:8" ht="44.25" customHeight="1" x14ac:dyDescent="0.25">
      <c r="B10" s="167"/>
      <c r="C10" s="168"/>
      <c r="D10" s="168"/>
      <c r="E10" s="168"/>
      <c r="F10" s="168"/>
      <c r="G10" s="168"/>
      <c r="H10" s="169"/>
    </row>
    <row r="11" spans="2:8" ht="15.75" thickBot="1" x14ac:dyDescent="0.3">
      <c r="B11" s="101"/>
      <c r="C11" s="104"/>
      <c r="D11" s="109"/>
      <c r="E11" s="110"/>
      <c r="F11" s="110"/>
      <c r="G11" s="111"/>
      <c r="H11" s="105"/>
    </row>
    <row r="12" spans="2:8" ht="15.75" thickTop="1" x14ac:dyDescent="0.25">
      <c r="B12" s="101"/>
      <c r="C12" s="170" t="s">
        <v>162</v>
      </c>
      <c r="D12" s="171"/>
      <c r="E12" s="172" t="s">
        <v>200</v>
      </c>
      <c r="F12" s="173"/>
      <c r="G12" s="104"/>
      <c r="H12" s="105"/>
    </row>
    <row r="13" spans="2:8" ht="35.25" customHeight="1" x14ac:dyDescent="0.25">
      <c r="B13" s="101"/>
      <c r="C13" s="177" t="s">
        <v>193</v>
      </c>
      <c r="D13" s="178"/>
      <c r="E13" s="179" t="s">
        <v>198</v>
      </c>
      <c r="F13" s="180"/>
      <c r="G13" s="104"/>
      <c r="H13" s="105"/>
    </row>
    <row r="14" spans="2:8" ht="17.25" customHeight="1" x14ac:dyDescent="0.25">
      <c r="B14" s="101"/>
      <c r="C14" s="177" t="s">
        <v>194</v>
      </c>
      <c r="D14" s="178"/>
      <c r="E14" s="179" t="s">
        <v>196</v>
      </c>
      <c r="F14" s="180"/>
      <c r="G14" s="104"/>
      <c r="H14" s="105"/>
    </row>
    <row r="15" spans="2:8" ht="19.5" customHeight="1" x14ac:dyDescent="0.25">
      <c r="B15" s="101"/>
      <c r="C15" s="177" t="s">
        <v>195</v>
      </c>
      <c r="D15" s="178"/>
      <c r="E15" s="179" t="s">
        <v>197</v>
      </c>
      <c r="F15" s="180"/>
      <c r="G15" s="104"/>
      <c r="H15" s="105"/>
    </row>
    <row r="16" spans="2:8" ht="69.75" customHeight="1" x14ac:dyDescent="0.25">
      <c r="B16" s="101"/>
      <c r="C16" s="177" t="s">
        <v>164</v>
      </c>
      <c r="D16" s="178"/>
      <c r="E16" s="179" t="s">
        <v>165</v>
      </c>
      <c r="F16" s="180"/>
      <c r="G16" s="104"/>
      <c r="H16" s="105"/>
    </row>
    <row r="17" spans="2:8" ht="34.5" customHeight="1" x14ac:dyDescent="0.25">
      <c r="B17" s="101"/>
      <c r="C17" s="181" t="s">
        <v>2</v>
      </c>
      <c r="D17" s="182"/>
      <c r="E17" s="183" t="s">
        <v>207</v>
      </c>
      <c r="F17" s="184"/>
      <c r="G17" s="104"/>
      <c r="H17" s="105"/>
    </row>
    <row r="18" spans="2:8" ht="27.75" customHeight="1" x14ac:dyDescent="0.25">
      <c r="B18" s="101"/>
      <c r="C18" s="181" t="s">
        <v>3</v>
      </c>
      <c r="D18" s="182"/>
      <c r="E18" s="183" t="s">
        <v>208</v>
      </c>
      <c r="F18" s="184"/>
      <c r="G18" s="104"/>
      <c r="H18" s="105"/>
    </row>
    <row r="19" spans="2:8" ht="28.5" customHeight="1" x14ac:dyDescent="0.25">
      <c r="B19" s="101"/>
      <c r="C19" s="181" t="s">
        <v>41</v>
      </c>
      <c r="D19" s="182"/>
      <c r="E19" s="183" t="s">
        <v>209</v>
      </c>
      <c r="F19" s="184"/>
      <c r="G19" s="104"/>
      <c r="H19" s="105"/>
    </row>
    <row r="20" spans="2:8" ht="72.75" customHeight="1" x14ac:dyDescent="0.25">
      <c r="B20" s="101"/>
      <c r="C20" s="181" t="s">
        <v>1</v>
      </c>
      <c r="D20" s="182"/>
      <c r="E20" s="183" t="s">
        <v>210</v>
      </c>
      <c r="F20" s="184"/>
      <c r="G20" s="104"/>
      <c r="H20" s="105"/>
    </row>
    <row r="21" spans="2:8" ht="64.5" customHeight="1" x14ac:dyDescent="0.25">
      <c r="B21" s="101"/>
      <c r="C21" s="181" t="s">
        <v>49</v>
      </c>
      <c r="D21" s="182"/>
      <c r="E21" s="183" t="s">
        <v>168</v>
      </c>
      <c r="F21" s="184"/>
      <c r="G21" s="104"/>
      <c r="H21" s="105"/>
    </row>
    <row r="22" spans="2:8" ht="71.25" customHeight="1" x14ac:dyDescent="0.25">
      <c r="B22" s="101"/>
      <c r="C22" s="181" t="s">
        <v>167</v>
      </c>
      <c r="D22" s="182"/>
      <c r="E22" s="183" t="s">
        <v>169</v>
      </c>
      <c r="F22" s="184"/>
      <c r="G22" s="104"/>
      <c r="H22" s="105"/>
    </row>
    <row r="23" spans="2:8" ht="55.5" customHeight="1" x14ac:dyDescent="0.25">
      <c r="B23" s="101"/>
      <c r="C23" s="188" t="s">
        <v>170</v>
      </c>
      <c r="D23" s="189"/>
      <c r="E23" s="183" t="s">
        <v>171</v>
      </c>
      <c r="F23" s="184"/>
      <c r="G23" s="104"/>
      <c r="H23" s="105"/>
    </row>
    <row r="24" spans="2:8" ht="42" customHeight="1" x14ac:dyDescent="0.25">
      <c r="B24" s="101"/>
      <c r="C24" s="188" t="s">
        <v>47</v>
      </c>
      <c r="D24" s="189"/>
      <c r="E24" s="183" t="s">
        <v>172</v>
      </c>
      <c r="F24" s="184"/>
      <c r="G24" s="104"/>
      <c r="H24" s="105"/>
    </row>
    <row r="25" spans="2:8" ht="59.25" customHeight="1" x14ac:dyDescent="0.25">
      <c r="B25" s="101"/>
      <c r="C25" s="188" t="s">
        <v>160</v>
      </c>
      <c r="D25" s="189"/>
      <c r="E25" s="183" t="s">
        <v>173</v>
      </c>
      <c r="F25" s="184"/>
      <c r="G25" s="104"/>
      <c r="H25" s="105"/>
    </row>
    <row r="26" spans="2:8" ht="23.25" customHeight="1" x14ac:dyDescent="0.25">
      <c r="B26" s="101"/>
      <c r="C26" s="188" t="s">
        <v>12</v>
      </c>
      <c r="D26" s="189"/>
      <c r="E26" s="183" t="s">
        <v>174</v>
      </c>
      <c r="F26" s="184"/>
      <c r="G26" s="104"/>
      <c r="H26" s="105"/>
    </row>
    <row r="27" spans="2:8" ht="30.75" customHeight="1" x14ac:dyDescent="0.25">
      <c r="B27" s="101"/>
      <c r="C27" s="188" t="s">
        <v>178</v>
      </c>
      <c r="D27" s="189"/>
      <c r="E27" s="183" t="s">
        <v>175</v>
      </c>
      <c r="F27" s="184"/>
      <c r="G27" s="104"/>
      <c r="H27" s="105"/>
    </row>
    <row r="28" spans="2:8" ht="35.25" customHeight="1" x14ac:dyDescent="0.25">
      <c r="B28" s="101"/>
      <c r="C28" s="188" t="s">
        <v>179</v>
      </c>
      <c r="D28" s="189"/>
      <c r="E28" s="183" t="s">
        <v>176</v>
      </c>
      <c r="F28" s="184"/>
      <c r="G28" s="104"/>
      <c r="H28" s="105"/>
    </row>
    <row r="29" spans="2:8" ht="33" customHeight="1" x14ac:dyDescent="0.25">
      <c r="B29" s="101"/>
      <c r="C29" s="188" t="s">
        <v>179</v>
      </c>
      <c r="D29" s="189"/>
      <c r="E29" s="183" t="s">
        <v>176</v>
      </c>
      <c r="F29" s="184"/>
      <c r="G29" s="104"/>
      <c r="H29" s="105"/>
    </row>
    <row r="30" spans="2:8" ht="30" customHeight="1" x14ac:dyDescent="0.25">
      <c r="B30" s="101"/>
      <c r="C30" s="188" t="s">
        <v>180</v>
      </c>
      <c r="D30" s="189"/>
      <c r="E30" s="183" t="s">
        <v>177</v>
      </c>
      <c r="F30" s="184"/>
      <c r="G30" s="104"/>
      <c r="H30" s="105"/>
    </row>
    <row r="31" spans="2:8" ht="35.25" customHeight="1" x14ac:dyDescent="0.25">
      <c r="B31" s="101"/>
      <c r="C31" s="188" t="s">
        <v>181</v>
      </c>
      <c r="D31" s="189"/>
      <c r="E31" s="183" t="s">
        <v>182</v>
      </c>
      <c r="F31" s="184"/>
      <c r="G31" s="104"/>
      <c r="H31" s="105"/>
    </row>
    <row r="32" spans="2:8" ht="31.5" customHeight="1" x14ac:dyDescent="0.25">
      <c r="B32" s="101"/>
      <c r="C32" s="188" t="s">
        <v>183</v>
      </c>
      <c r="D32" s="189"/>
      <c r="E32" s="183" t="s">
        <v>184</v>
      </c>
      <c r="F32" s="184"/>
      <c r="G32" s="104"/>
      <c r="H32" s="105"/>
    </row>
    <row r="33" spans="2:8" ht="35.25" customHeight="1" x14ac:dyDescent="0.25">
      <c r="B33" s="101"/>
      <c r="C33" s="188" t="s">
        <v>185</v>
      </c>
      <c r="D33" s="189"/>
      <c r="E33" s="183" t="s">
        <v>186</v>
      </c>
      <c r="F33" s="184"/>
      <c r="G33" s="104"/>
      <c r="H33" s="105"/>
    </row>
    <row r="34" spans="2:8" ht="59.25" customHeight="1" x14ac:dyDescent="0.25">
      <c r="B34" s="101"/>
      <c r="C34" s="188" t="s">
        <v>187</v>
      </c>
      <c r="D34" s="189"/>
      <c r="E34" s="183" t="s">
        <v>188</v>
      </c>
      <c r="F34" s="184"/>
      <c r="G34" s="104"/>
      <c r="H34" s="105"/>
    </row>
    <row r="35" spans="2:8" ht="29.25" customHeight="1" x14ac:dyDescent="0.25">
      <c r="B35" s="101"/>
      <c r="C35" s="188" t="s">
        <v>29</v>
      </c>
      <c r="D35" s="189"/>
      <c r="E35" s="183" t="s">
        <v>189</v>
      </c>
      <c r="F35" s="184"/>
      <c r="G35" s="104"/>
      <c r="H35" s="105"/>
    </row>
    <row r="36" spans="2:8" ht="82.5" customHeight="1" x14ac:dyDescent="0.25">
      <c r="B36" s="101"/>
      <c r="C36" s="188" t="s">
        <v>191</v>
      </c>
      <c r="D36" s="189"/>
      <c r="E36" s="183" t="s">
        <v>190</v>
      </c>
      <c r="F36" s="184"/>
      <c r="G36" s="104"/>
      <c r="H36" s="105"/>
    </row>
    <row r="37" spans="2:8" ht="46.5" customHeight="1" x14ac:dyDescent="0.25">
      <c r="B37" s="101"/>
      <c r="C37" s="188" t="s">
        <v>38</v>
      </c>
      <c r="D37" s="189"/>
      <c r="E37" s="183" t="s">
        <v>192</v>
      </c>
      <c r="F37" s="184"/>
      <c r="G37" s="104"/>
      <c r="H37" s="105"/>
    </row>
    <row r="38" spans="2:8" ht="6.75" customHeight="1" thickBot="1" x14ac:dyDescent="0.3">
      <c r="B38" s="101"/>
      <c r="C38" s="190"/>
      <c r="D38" s="191"/>
      <c r="E38" s="192"/>
      <c r="F38" s="193"/>
      <c r="G38" s="104"/>
      <c r="H38" s="105"/>
    </row>
    <row r="39" spans="2:8" ht="15.75" thickTop="1" x14ac:dyDescent="0.25">
      <c r="B39" s="101"/>
      <c r="C39" s="102"/>
      <c r="D39" s="102"/>
      <c r="E39" s="103"/>
      <c r="F39" s="103"/>
      <c r="G39" s="104"/>
      <c r="H39" s="105"/>
    </row>
    <row r="40" spans="2:8" ht="21" customHeight="1" x14ac:dyDescent="0.25">
      <c r="B40" s="185" t="s">
        <v>201</v>
      </c>
      <c r="C40" s="186"/>
      <c r="D40" s="186"/>
      <c r="E40" s="186"/>
      <c r="F40" s="186"/>
      <c r="G40" s="186"/>
      <c r="H40" s="187"/>
    </row>
    <row r="41" spans="2:8" ht="20.25" customHeight="1" x14ac:dyDescent="0.25">
      <c r="B41" s="185" t="s">
        <v>202</v>
      </c>
      <c r="C41" s="186"/>
      <c r="D41" s="186"/>
      <c r="E41" s="186"/>
      <c r="F41" s="186"/>
      <c r="G41" s="186"/>
      <c r="H41" s="187"/>
    </row>
    <row r="42" spans="2:8" ht="20.25" customHeight="1" x14ac:dyDescent="0.25">
      <c r="B42" s="185" t="s">
        <v>203</v>
      </c>
      <c r="C42" s="186"/>
      <c r="D42" s="186"/>
      <c r="E42" s="186"/>
      <c r="F42" s="186"/>
      <c r="G42" s="186"/>
      <c r="H42" s="187"/>
    </row>
    <row r="43" spans="2:8" ht="20.25" customHeight="1" x14ac:dyDescent="0.25">
      <c r="B43" s="185" t="s">
        <v>204</v>
      </c>
      <c r="C43" s="186"/>
      <c r="D43" s="186"/>
      <c r="E43" s="186"/>
      <c r="F43" s="186"/>
      <c r="G43" s="186"/>
      <c r="H43" s="187"/>
    </row>
    <row r="44" spans="2:8" x14ac:dyDescent="0.25">
      <c r="B44" s="185" t="s">
        <v>205</v>
      </c>
      <c r="C44" s="186"/>
      <c r="D44" s="186"/>
      <c r="E44" s="186"/>
      <c r="F44" s="186"/>
      <c r="G44" s="186"/>
      <c r="H44" s="187"/>
    </row>
    <row r="45" spans="2:8" ht="15.75" thickBot="1" x14ac:dyDescent="0.3">
      <c r="B45" s="106"/>
      <c r="C45" s="107"/>
      <c r="D45" s="107"/>
      <c r="E45" s="107"/>
      <c r="F45" s="107"/>
      <c r="G45" s="107"/>
      <c r="H45" s="10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20"/>
  <sheetViews>
    <sheetView showGridLines="0" tabSelected="1" topLeftCell="A13" zoomScale="80" zoomScaleNormal="90" zoomScaleSheetLayoutView="80" workbookViewId="0">
      <selection activeCell="J23" sqref="J23"/>
    </sheetView>
  </sheetViews>
  <sheetFormatPr baseColWidth="10" defaultColWidth="11.42578125" defaultRowHeight="16.5" x14ac:dyDescent="0.3"/>
  <cols>
    <col min="1" max="1" width="4.5703125" style="2" customWidth="1"/>
    <col min="2" max="3" width="12" style="2" customWidth="1"/>
    <col min="4" max="4" width="14.140625" style="2" customWidth="1"/>
    <col min="5" max="5" width="28.140625" style="2" customWidth="1"/>
    <col min="6" max="6" width="16.140625" style="2" customWidth="1"/>
    <col min="7" max="7" width="32.42578125" style="1" customWidth="1"/>
    <col min="8" max="10" width="19" style="4" customWidth="1"/>
    <col min="11" max="11" width="17.85546875" style="1" customWidth="1"/>
    <col min="12" max="12" width="16.42578125" style="1" customWidth="1"/>
    <col min="13" max="13" width="6.42578125" style="1" customWidth="1"/>
    <col min="14" max="14" width="27.42578125" style="1" customWidth="1"/>
    <col min="15" max="15" width="30.42578125" style="1" customWidth="1"/>
    <col min="16" max="16" width="17.42578125" style="1" customWidth="1"/>
    <col min="17" max="17" width="6.42578125" style="1" customWidth="1"/>
    <col min="18" max="18" width="16" style="1" customWidth="1"/>
    <col min="19" max="19" width="5.85546875" style="1" customWidth="1"/>
    <col min="20" max="21" width="31" style="1" customWidth="1"/>
    <col min="22" max="22" width="15.140625" style="1" bestFit="1" customWidth="1"/>
    <col min="23" max="23" width="6.85546875" style="1" hidden="1" customWidth="1"/>
    <col min="24" max="24" width="5" style="1" hidden="1" customWidth="1"/>
    <col min="25" max="25" width="5.42578125" style="1" hidden="1" customWidth="1"/>
    <col min="26" max="26" width="7.140625" style="1" hidden="1" customWidth="1"/>
    <col min="27" max="27" width="6.5703125" style="1" hidden="1" customWidth="1"/>
    <col min="28" max="28" width="7.42578125" style="1" hidden="1" customWidth="1"/>
    <col min="29" max="29" width="38.42578125" style="1" hidden="1" customWidth="1"/>
    <col min="30" max="30" width="8.5703125" style="1" hidden="1" customWidth="1"/>
    <col min="31" max="31" width="10.42578125" style="1" hidden="1" customWidth="1"/>
    <col min="32" max="32" width="9.42578125" style="1" hidden="1" customWidth="1"/>
    <col min="33" max="33" width="9.140625" style="1" hidden="1" customWidth="1"/>
    <col min="34" max="34" width="8.42578125" style="1" hidden="1" customWidth="1"/>
    <col min="35" max="35" width="7.42578125" style="1" hidden="1" customWidth="1"/>
    <col min="36" max="36" width="23" style="1" customWidth="1"/>
    <col min="37" max="37" width="18.85546875" style="1" customWidth="1"/>
    <col min="38" max="38" width="16.85546875" style="1" customWidth="1"/>
    <col min="39" max="39" width="14.85546875" style="1" customWidth="1"/>
    <col min="40" max="40" width="53.5703125" style="1" customWidth="1"/>
    <col min="41" max="41" width="21" style="1" customWidth="1"/>
    <col min="42" max="42" width="14.140625" style="1" customWidth="1"/>
    <col min="43" max="43" width="58.140625" style="1" customWidth="1"/>
    <col min="44" max="44" width="20.5703125" style="1" customWidth="1"/>
    <col min="45" max="45" width="15.42578125" style="1" customWidth="1"/>
    <col min="46" max="46" width="69.42578125" style="1" customWidth="1"/>
    <col min="47" max="47" width="17.42578125" style="1" customWidth="1"/>
    <col min="48" max="16384" width="11.42578125" style="1"/>
  </cols>
  <sheetData>
    <row r="1" spans="1:73" ht="38.450000000000003" customHeight="1" x14ac:dyDescent="0.3">
      <c r="A1" s="203" t="s">
        <v>213</v>
      </c>
      <c r="B1" s="203"/>
      <c r="C1" s="203"/>
      <c r="D1" s="203"/>
      <c r="E1" s="207" t="s">
        <v>214</v>
      </c>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194" t="s">
        <v>215</v>
      </c>
      <c r="AU1" s="194"/>
    </row>
    <row r="2" spans="1:73" ht="33.6" customHeight="1" x14ac:dyDescent="0.3">
      <c r="A2" s="203"/>
      <c r="B2" s="203"/>
      <c r="C2" s="203"/>
      <c r="D2" s="203"/>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194" t="s">
        <v>222</v>
      </c>
      <c r="AU2" s="194"/>
    </row>
    <row r="3" spans="1:73" ht="13.7" customHeight="1" x14ac:dyDescent="0.3">
      <c r="A3" s="203"/>
      <c r="B3" s="203"/>
      <c r="C3" s="203"/>
      <c r="D3" s="203"/>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194" t="s">
        <v>223</v>
      </c>
      <c r="AU3" s="194"/>
    </row>
    <row r="4" spans="1:73" ht="13.7" customHeight="1" x14ac:dyDescent="0.3">
      <c r="A4" s="203"/>
      <c r="B4" s="203"/>
      <c r="C4" s="203"/>
      <c r="D4" s="203"/>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194" t="s">
        <v>216</v>
      </c>
      <c r="AU4" s="194"/>
    </row>
    <row r="5" spans="1:73" ht="26.25" customHeight="1" x14ac:dyDescent="0.3">
      <c r="A5" s="219" t="s">
        <v>42</v>
      </c>
      <c r="B5" s="220"/>
      <c r="C5" s="199" t="s">
        <v>254</v>
      </c>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1"/>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30" customHeight="1" x14ac:dyDescent="0.3">
      <c r="A6" s="219" t="s">
        <v>129</v>
      </c>
      <c r="B6" s="220"/>
      <c r="C6" s="196" t="s">
        <v>255</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8"/>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24" customHeight="1" x14ac:dyDescent="0.3">
      <c r="A7" s="219" t="s">
        <v>43</v>
      </c>
      <c r="B7" s="220"/>
      <c r="C7" s="196" t="s">
        <v>256</v>
      </c>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8"/>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x14ac:dyDescent="0.3">
      <c r="A8" s="204" t="s">
        <v>138</v>
      </c>
      <c r="B8" s="204"/>
      <c r="C8" s="204"/>
      <c r="D8" s="204"/>
      <c r="E8" s="205"/>
      <c r="F8" s="205"/>
      <c r="G8" s="205"/>
      <c r="H8" s="205"/>
      <c r="I8" s="205"/>
      <c r="J8" s="205"/>
      <c r="K8" s="205"/>
      <c r="L8" s="205" t="s">
        <v>139</v>
      </c>
      <c r="M8" s="205"/>
      <c r="N8" s="205"/>
      <c r="O8" s="205"/>
      <c r="P8" s="205"/>
      <c r="Q8" s="205"/>
      <c r="R8" s="205"/>
      <c r="S8" s="205" t="s">
        <v>140</v>
      </c>
      <c r="T8" s="205"/>
      <c r="U8" s="205"/>
      <c r="V8" s="205"/>
      <c r="W8" s="205"/>
      <c r="X8" s="205"/>
      <c r="Y8" s="205"/>
      <c r="Z8" s="205"/>
      <c r="AA8" s="205"/>
      <c r="AB8" s="205"/>
      <c r="AC8" s="205" t="s">
        <v>141</v>
      </c>
      <c r="AD8" s="205"/>
      <c r="AE8" s="205"/>
      <c r="AF8" s="205"/>
      <c r="AG8" s="205"/>
      <c r="AH8" s="205"/>
      <c r="AI8" s="205"/>
      <c r="AJ8" s="217" t="s">
        <v>34</v>
      </c>
      <c r="AK8" s="218"/>
      <c r="AL8" s="218"/>
      <c r="AM8" s="218"/>
      <c r="AN8" s="218"/>
      <c r="AO8" s="218"/>
      <c r="AP8" s="218"/>
      <c r="AQ8" s="218"/>
      <c r="AR8" s="218"/>
      <c r="AS8" s="218"/>
      <c r="AT8" s="218"/>
      <c r="AU8" s="218"/>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16.5" customHeight="1" x14ac:dyDescent="0.3">
      <c r="A9" s="206" t="s">
        <v>0</v>
      </c>
      <c r="B9" s="204" t="s">
        <v>13</v>
      </c>
      <c r="C9" s="204" t="s">
        <v>236</v>
      </c>
      <c r="D9" s="204" t="s">
        <v>2</v>
      </c>
      <c r="E9" s="195" t="s">
        <v>3</v>
      </c>
      <c r="F9" s="195" t="s">
        <v>41</v>
      </c>
      <c r="G9" s="204" t="s">
        <v>1</v>
      </c>
      <c r="H9" s="195" t="s">
        <v>49</v>
      </c>
      <c r="I9" s="195" t="s">
        <v>252</v>
      </c>
      <c r="J9" s="195" t="s">
        <v>253</v>
      </c>
      <c r="K9" s="195" t="s">
        <v>134</v>
      </c>
      <c r="L9" s="195" t="s">
        <v>33</v>
      </c>
      <c r="M9" s="204" t="s">
        <v>5</v>
      </c>
      <c r="N9" s="195" t="s">
        <v>86</v>
      </c>
      <c r="O9" s="195" t="s">
        <v>91</v>
      </c>
      <c r="P9" s="195" t="s">
        <v>44</v>
      </c>
      <c r="Q9" s="204" t="s">
        <v>5</v>
      </c>
      <c r="R9" s="195" t="s">
        <v>47</v>
      </c>
      <c r="S9" s="202" t="s">
        <v>11</v>
      </c>
      <c r="T9" s="195" t="s">
        <v>160</v>
      </c>
      <c r="U9" s="195" t="s">
        <v>212</v>
      </c>
      <c r="V9" s="195" t="s">
        <v>12</v>
      </c>
      <c r="W9" s="195" t="s">
        <v>8</v>
      </c>
      <c r="X9" s="195"/>
      <c r="Y9" s="195"/>
      <c r="Z9" s="195"/>
      <c r="AA9" s="195"/>
      <c r="AB9" s="195"/>
      <c r="AC9" s="202" t="s">
        <v>137</v>
      </c>
      <c r="AD9" s="202" t="s">
        <v>45</v>
      </c>
      <c r="AE9" s="202" t="s">
        <v>5</v>
      </c>
      <c r="AF9" s="202" t="s">
        <v>46</v>
      </c>
      <c r="AG9" s="202" t="s">
        <v>5</v>
      </c>
      <c r="AH9" s="202" t="s">
        <v>48</v>
      </c>
      <c r="AI9" s="202" t="s">
        <v>29</v>
      </c>
      <c r="AJ9" s="195" t="s">
        <v>34</v>
      </c>
      <c r="AK9" s="195" t="s">
        <v>35</v>
      </c>
      <c r="AL9" s="195" t="s">
        <v>36</v>
      </c>
      <c r="AM9" s="195" t="s">
        <v>37</v>
      </c>
      <c r="AN9" s="195" t="s">
        <v>224</v>
      </c>
      <c r="AO9" s="195" t="s">
        <v>38</v>
      </c>
      <c r="AP9" s="195" t="s">
        <v>37</v>
      </c>
      <c r="AQ9" s="195" t="s">
        <v>225</v>
      </c>
      <c r="AR9" s="195" t="s">
        <v>38</v>
      </c>
      <c r="AS9" s="195" t="s">
        <v>37</v>
      </c>
      <c r="AT9" s="195" t="s">
        <v>226</v>
      </c>
      <c r="AU9" s="195" t="s">
        <v>38</v>
      </c>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s="3" customFormat="1" ht="60" customHeight="1" x14ac:dyDescent="0.25">
      <c r="A10" s="206"/>
      <c r="B10" s="204"/>
      <c r="C10" s="204"/>
      <c r="D10" s="204"/>
      <c r="E10" s="195"/>
      <c r="F10" s="195"/>
      <c r="G10" s="204"/>
      <c r="H10" s="195"/>
      <c r="I10" s="195"/>
      <c r="J10" s="195"/>
      <c r="K10" s="195"/>
      <c r="L10" s="195"/>
      <c r="M10" s="204"/>
      <c r="N10" s="195"/>
      <c r="O10" s="195"/>
      <c r="P10" s="204"/>
      <c r="Q10" s="204"/>
      <c r="R10" s="195"/>
      <c r="S10" s="202"/>
      <c r="T10" s="195"/>
      <c r="U10" s="195"/>
      <c r="V10" s="195"/>
      <c r="W10" s="134" t="s">
        <v>13</v>
      </c>
      <c r="X10" s="134" t="s">
        <v>17</v>
      </c>
      <c r="Y10" s="134" t="s">
        <v>28</v>
      </c>
      <c r="Z10" s="134" t="s">
        <v>18</v>
      </c>
      <c r="AA10" s="134" t="s">
        <v>21</v>
      </c>
      <c r="AB10" s="134" t="s">
        <v>24</v>
      </c>
      <c r="AC10" s="202"/>
      <c r="AD10" s="202"/>
      <c r="AE10" s="202"/>
      <c r="AF10" s="202"/>
      <c r="AG10" s="202"/>
      <c r="AH10" s="202"/>
      <c r="AI10" s="202"/>
      <c r="AJ10" s="195"/>
      <c r="AK10" s="195"/>
      <c r="AL10" s="195"/>
      <c r="AM10" s="195"/>
      <c r="AN10" s="195"/>
      <c r="AO10" s="195"/>
      <c r="AP10" s="195"/>
      <c r="AQ10" s="195"/>
      <c r="AR10" s="195"/>
      <c r="AS10" s="195"/>
      <c r="AT10" s="195"/>
      <c r="AU10" s="195"/>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264" customHeight="1" x14ac:dyDescent="0.3">
      <c r="A11" s="116">
        <v>1</v>
      </c>
      <c r="B11" s="116" t="s">
        <v>228</v>
      </c>
      <c r="C11" s="116" t="s">
        <v>239</v>
      </c>
      <c r="D11" s="117" t="s">
        <v>133</v>
      </c>
      <c r="E11" s="117" t="s">
        <v>258</v>
      </c>
      <c r="F11" s="117" t="s">
        <v>257</v>
      </c>
      <c r="G11" s="118" t="s">
        <v>261</v>
      </c>
      <c r="H11" s="117" t="s">
        <v>122</v>
      </c>
      <c r="I11" s="117" t="s">
        <v>245</v>
      </c>
      <c r="J11" s="117" t="s">
        <v>250</v>
      </c>
      <c r="K11" s="119">
        <v>15</v>
      </c>
      <c r="L11" s="120" t="str">
        <f>IF(K11&lt;=0,"",IF(K11&lt;=2,"Muy Baja",IF(K11&lt;=24,"Baja",IF(K11&lt;=500,"Media",IF(K11&lt;=5000,"Alta","Muy Alta")))))</f>
        <v>Baja</v>
      </c>
      <c r="M11" s="121">
        <f>IF(L11="","",IF(L11="Muy Baja",0.2,IF(L11="Baja",0.4,IF(L11="Media",0.6,IF(L11="Alta",0.8,IF(L11="Muy Alta",1,))))))</f>
        <v>0.4</v>
      </c>
      <c r="N11" s="122" t="s">
        <v>153</v>
      </c>
      <c r="O11" s="151" t="str">
        <f>IF(NOT(ISERROR(MATCH(N11,'Tabla Impacto'!$B$221:$B$223,0))),'Tabla Impacto'!$F$223&amp;"Por favor no seleccionar los criterios de impacto(Afectación Económica o presupuestal y Pérdida Reputacional)",N11)</f>
        <v xml:space="preserve">     El riesgo afecta la imagen de de la entidad con efecto publicitario sostenido a nivel de sector administrativo, nivel departamental o municipal</v>
      </c>
      <c r="P11" s="120" t="str">
        <f>IF(OR(O11='Tabla Impacto'!$C$11,O11='Tabla Impacto'!$D$11),"Leve",IF(OR(O11='Tabla Impacto'!$C$12,O11='Tabla Impacto'!$D$12),"Menor",IF(OR(O11='Tabla Impacto'!$C$13,O11='Tabla Impacto'!$D$13),"Moderado",IF(OR(O11='Tabla Impacto'!$C$14,O11='Tabla Impacto'!$D$14),"Mayor",IF(OR(O11='Tabla Impacto'!$C$15,O11='Tabla Impacto'!$D$15),"Catastrófico","")))))</f>
        <v>Mayor</v>
      </c>
      <c r="Q11" s="121">
        <f>IF(P11="","",IF(P11="Leve",0.2,IF(P11="Menor",0.4,IF(P11="Moderado",0.6,IF(P11="Mayor",0.8,IF(P11="Catastrófico",1,))))))</f>
        <v>0.8</v>
      </c>
      <c r="R11" s="123"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Alto</v>
      </c>
      <c r="S11" s="116">
        <v>1</v>
      </c>
      <c r="T11" s="153" t="s">
        <v>262</v>
      </c>
      <c r="U11" s="154" t="s">
        <v>263</v>
      </c>
      <c r="V11" s="126" t="str">
        <f>IF(OR(W11="Preventivo",W11="Detectivo"),"Probabilidad",IF(W11="Correctivo","Impacto",""))</f>
        <v>Probabilidad</v>
      </c>
      <c r="W11" s="127" t="s">
        <v>14</v>
      </c>
      <c r="X11" s="127" t="s">
        <v>10</v>
      </c>
      <c r="Y11" s="128" t="str">
        <f>IF(AND(W11="Preventivo",X11="Automático"),"50%",IF(AND(W11="Preventivo",X11="Manual"),"40%",IF(AND(W11="Detectivo",X11="Automático"),"40%",IF(AND(W11="Detectivo",X11="Manual"),"30%",IF(AND(W11="Correctivo",X11="Automático"),"35%",IF(AND(W11="Correctivo",X11="Manual"),"25%",""))))))</f>
        <v>50%</v>
      </c>
      <c r="Z11" s="127" t="s">
        <v>19</v>
      </c>
      <c r="AA11" s="127" t="s">
        <v>22</v>
      </c>
      <c r="AB11" s="127" t="s">
        <v>118</v>
      </c>
      <c r="AC11" s="129">
        <f>IFERROR(IF(V11="Probabilidad",(M11-(+M11*Y11)),IF(V11="Impacto",M11,"")),"")</f>
        <v>0.2</v>
      </c>
      <c r="AD11" s="130" t="str">
        <f>IFERROR(IF(AC11="","",IF(AC11&lt;=0.2,"Muy Baja",IF(AC11&lt;=0.4,"Baja",IF(AC11&lt;=0.6,"Media",IF(AC11&lt;=0.8,"Alta","Muy Alta"))))),"")</f>
        <v>Muy Baja</v>
      </c>
      <c r="AE11" s="131">
        <f>+AC11</f>
        <v>0.2</v>
      </c>
      <c r="AF11" s="130" t="str">
        <f>IFERROR(IF(AG11="","",IF(AG11&lt;=0.2,"Leve",IF(AG11&lt;=0.4,"Menor",IF(AG11&lt;=0.6,"Moderado",IF(AG11&lt;=0.8,"Mayor","Catastrófico"))))),"")</f>
        <v>Mayor</v>
      </c>
      <c r="AG11" s="131">
        <f>IFERROR(IF(V11="Impacto",(Q11-(+Q11*Y11)),IF(V11="Probabilidad",Q11,"")),"")</f>
        <v>0.8</v>
      </c>
      <c r="AH11" s="132"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Alto</v>
      </c>
      <c r="AI11" s="127" t="s">
        <v>135</v>
      </c>
      <c r="AJ11" s="117"/>
      <c r="AK11" s="117"/>
      <c r="AL11" s="133"/>
      <c r="AM11" s="133">
        <v>44690</v>
      </c>
      <c r="AN11" s="152" t="s">
        <v>260</v>
      </c>
      <c r="AO11" s="119" t="s">
        <v>40</v>
      </c>
      <c r="AP11" s="133">
        <v>44785</v>
      </c>
      <c r="AQ11" s="152" t="s">
        <v>278</v>
      </c>
      <c r="AR11" s="119" t="s">
        <v>40</v>
      </c>
      <c r="AS11" s="133">
        <v>44881</v>
      </c>
      <c r="AT11" s="152" t="s">
        <v>281</v>
      </c>
      <c r="AU11" s="119" t="s">
        <v>39</v>
      </c>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240" customHeight="1" x14ac:dyDescent="0.3">
      <c r="A12" s="116">
        <v>2</v>
      </c>
      <c r="B12" s="116" t="s">
        <v>231</v>
      </c>
      <c r="C12" s="116" t="s">
        <v>239</v>
      </c>
      <c r="D12" s="117" t="s">
        <v>133</v>
      </c>
      <c r="E12" s="117" t="s">
        <v>266</v>
      </c>
      <c r="F12" s="117" t="s">
        <v>264</v>
      </c>
      <c r="G12" s="118" t="s">
        <v>265</v>
      </c>
      <c r="H12" s="117" t="s">
        <v>122</v>
      </c>
      <c r="I12" s="117" t="s">
        <v>247</v>
      </c>
      <c r="J12" s="117" t="s">
        <v>247</v>
      </c>
      <c r="K12" s="119">
        <v>20</v>
      </c>
      <c r="L12" s="120" t="s">
        <v>52</v>
      </c>
      <c r="M12" s="121">
        <v>0.45</v>
      </c>
      <c r="N12" s="122" t="s">
        <v>154</v>
      </c>
      <c r="O12" s="151" t="str">
        <f>IF(NOT(ISERROR(MATCH(N12,'Tabla Impacto'!$B$221:$B$223,0))),'Tabla Impacto'!$F$223&amp;"Por favor no seleccionar los criterios de impacto(Afectación Económica o presupuestal y Pérdida Reputacional)",N12)</f>
        <v xml:space="preserve">     El riesgo afecta la imagen de la entidad a nivel nacional, con efecto publicitarios sostenible a nivel país</v>
      </c>
      <c r="P12" s="150" t="str">
        <f>IF(OR(O12='Tabla Impacto'!$C$11,O12='Tabla Impacto'!$D$11),"Leve",IF(OR(O12='Tabla Impacto'!$C$12,O12='Tabla Impacto'!$D$12),"Menor",IF(OR(O12='Tabla Impacto'!$C$13,O12='Tabla Impacto'!$D$13),"Moderado",IF(OR(O12='Tabla Impacto'!$C$14,O12='Tabla Impacto'!$D$14),"Mayor",IF(OR(O12='Tabla Impacto'!$C$15,O12='Tabla Impacto'!$D$15),"Catastrófico","")))))</f>
        <v>Catastrófico</v>
      </c>
      <c r="Q12" s="121">
        <f>IF(P12="","",IF(P12="Leve",0.2,IF(P12="Menor",0.4,IF(P12="Moderado",0.6,IF(P12="Mayor",0.8,IF(P12="Catastrófico",1,))))))</f>
        <v>1</v>
      </c>
      <c r="R12" s="123"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Extremo</v>
      </c>
      <c r="S12" s="116">
        <v>1</v>
      </c>
      <c r="T12" s="124" t="s">
        <v>268</v>
      </c>
      <c r="U12" s="125" t="s">
        <v>269</v>
      </c>
      <c r="V12" s="126" t="str">
        <f>IF(OR(W12="Preventivo",W12="Detectivo"),"Probabilidad",IF(W12="Correctivo","Impacto",""))</f>
        <v>Probabilidad</v>
      </c>
      <c r="W12" s="127" t="s">
        <v>14</v>
      </c>
      <c r="X12" s="127" t="s">
        <v>10</v>
      </c>
      <c r="Y12" s="128" t="str">
        <f>IF(AND(W12="Preventivo",X12="Automático"),"50%",IF(AND(W12="Preventivo",X12="Manual"),"40%",IF(AND(W12="Detectivo",X12="Automático"),"40%",IF(AND(W12="Detectivo",X12="Manual"),"30%",IF(AND(W12="Correctivo",X12="Automático"),"35%",IF(AND(W12="Correctivo",X12="Manual"),"25%",""))))))</f>
        <v>50%</v>
      </c>
      <c r="Z12" s="127" t="s">
        <v>20</v>
      </c>
      <c r="AA12" s="127" t="s">
        <v>22</v>
      </c>
      <c r="AB12" s="127" t="s">
        <v>118</v>
      </c>
      <c r="AC12" s="129">
        <f>IFERROR(IF(V12="Probabilidad",(M12-(+M12*Y12)),IF(V12="Impacto",M12,"")),"")</f>
        <v>0.22500000000000001</v>
      </c>
      <c r="AD12" s="130" t="str">
        <f>IFERROR(IF(AC12="","",IF(AC12&lt;=0.2,"Muy Baja",IF(AC12&lt;=0.4,"Baja",IF(AC12&lt;=0.6,"Media",IF(AC12&lt;=0.8,"Alta","Muy Alta"))))),"")</f>
        <v>Baja</v>
      </c>
      <c r="AE12" s="131">
        <f>+AC12</f>
        <v>0.22500000000000001</v>
      </c>
      <c r="AF12" s="130" t="str">
        <f>IFERROR(IF(AG12="","",IF(AG12&lt;=0.2,"Leve",IF(AG12&lt;=0.4,"Menor",IF(AG12&lt;=0.6,"Moderado",IF(AG12&lt;=0.8,"Mayor","Catastrófico"))))),"")</f>
        <v>Catastrófico</v>
      </c>
      <c r="AG12" s="131">
        <f>IFERROR(IF(V12="Impacto",(Q12-(+Q12*Y12)),IF(V12="Probabilidad",Q12,"")),"")</f>
        <v>1</v>
      </c>
      <c r="AH12" s="132"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Extremo</v>
      </c>
      <c r="AI12" s="127" t="s">
        <v>135</v>
      </c>
      <c r="AJ12" s="117" t="s">
        <v>267</v>
      </c>
      <c r="AK12" s="117"/>
      <c r="AL12" s="133"/>
      <c r="AM12" s="133">
        <v>44690</v>
      </c>
      <c r="AN12" s="117" t="s">
        <v>259</v>
      </c>
      <c r="AO12" s="119" t="s">
        <v>40</v>
      </c>
      <c r="AP12" s="133">
        <v>44785</v>
      </c>
      <c r="AQ12" s="152" t="s">
        <v>270</v>
      </c>
      <c r="AR12" s="119" t="s">
        <v>40</v>
      </c>
      <c r="AS12" s="133">
        <v>44881</v>
      </c>
      <c r="AT12" s="152" t="s">
        <v>282</v>
      </c>
      <c r="AU12" s="119" t="s">
        <v>39</v>
      </c>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338.25" customHeight="1" x14ac:dyDescent="0.3">
      <c r="A13" s="116">
        <v>3</v>
      </c>
      <c r="B13" s="116" t="s">
        <v>231</v>
      </c>
      <c r="C13" s="116" t="s">
        <v>239</v>
      </c>
      <c r="D13" s="117" t="s">
        <v>133</v>
      </c>
      <c r="E13" s="117" t="s">
        <v>272</v>
      </c>
      <c r="F13" s="117" t="s">
        <v>271</v>
      </c>
      <c r="G13" s="118" t="s">
        <v>273</v>
      </c>
      <c r="H13" s="117" t="s">
        <v>122</v>
      </c>
      <c r="I13" s="117" t="s">
        <v>245</v>
      </c>
      <c r="J13" s="117" t="s">
        <v>247</v>
      </c>
      <c r="K13" s="119">
        <v>29</v>
      </c>
      <c r="L13" s="120" t="str">
        <f>IF(K13&lt;=0,"",IF(K13&lt;=2,"Muy Baja",IF(K13&lt;=24,"Baja",IF(K13&lt;=500,"Media",IF(K13&lt;=5000,"Alta","Muy Alta")))))</f>
        <v>Media</v>
      </c>
      <c r="M13" s="121">
        <f>IF(L13="","",IF(L13="Muy Baja",0.2,IF(L13="Baja",0.4,IF(L13="Media",0.6,IF(L13="Alta",0.8,IF(L13="Muy Alta",1,))))))</f>
        <v>0.6</v>
      </c>
      <c r="N13" s="122" t="s">
        <v>151</v>
      </c>
      <c r="O13" s="151" t="str">
        <f>IF(NOT(ISERROR(MATCH(N13,'Tabla Impacto'!$B$221:$B$223,0))),'Tabla Impacto'!$F$223&amp;"Por favor no seleccionar los criterios de impacto(Afectación Económica o presupuestal y Pérdida Reputacional)",N13)</f>
        <v xml:space="preserve">     El riesgo afecta la imagen de la entidad internamente, de conocimiento general, nivel interno, de junta dircetiva y accionistas y/o de provedores</v>
      </c>
      <c r="P13" s="120" t="str">
        <f>IF(OR(O13='Tabla Impacto'!$C$11,O11='Tabla Impacto'!$D$11),"Leve",IF(OR(O11='Tabla Impacto'!$C$12,O11='Tabla Impacto'!$D$12),"Menor",IF(OR(O11='Tabla Impacto'!$C$13,O11='Tabla Impacto'!$D$13),"Moderado",IF(OR(O11='Tabla Impacto'!$C$14,O11='Tabla Impacto'!$D$14),"Mayor",IF(OR(O11='Tabla Impacto'!$C$15,O11='Tabla Impacto'!$D$15),"Catastrófico","")))))</f>
        <v>Mayor</v>
      </c>
      <c r="Q13" s="121">
        <f>IF(P13="","",IF(P13="Leve",0.2,IF(P13="Menor",0.4,IF(P13="Moderado",0.6,IF(P13="Mayor",0.8,IF(P13="Catastrófico",1,))))))</f>
        <v>0.8</v>
      </c>
      <c r="R13" s="123"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Alto</v>
      </c>
      <c r="S13" s="116">
        <v>2</v>
      </c>
      <c r="T13" s="124" t="s">
        <v>274</v>
      </c>
      <c r="U13" s="125" t="s">
        <v>275</v>
      </c>
      <c r="V13" s="126" t="str">
        <f>IF(OR(W13="Preventivo",W13="Detectivo"),"Probabilidad",IF(W13="Correctivo","Impacto",""))</f>
        <v>Probabilidad</v>
      </c>
      <c r="W13" s="127" t="s">
        <v>15</v>
      </c>
      <c r="X13" s="127" t="s">
        <v>9</v>
      </c>
      <c r="Y13" s="128" t="str">
        <f>IF(AND(W13="Preventivo",X13="Automático"),"50%",IF(AND(W13="Preventivo",X13="Manual"),"40%",IF(AND(W13="Detectivo",X13="Automático"),"40%",IF(AND(W13="Detectivo",X13="Manual"),"30%",IF(AND(W13="Correctivo",X13="Automático"),"35%",IF(AND(W13="Correctivo",X13="Manual"),"25%",""))))))</f>
        <v>30%</v>
      </c>
      <c r="Z13" s="127" t="s">
        <v>19</v>
      </c>
      <c r="AA13" s="127"/>
      <c r="AB13" s="127" t="s">
        <v>118</v>
      </c>
      <c r="AC13" s="129">
        <f>IFERROR(IF(V13="Probabilidad",(M13-(+M13*Y13)),IF(V13="Impacto",M13,"")),"")</f>
        <v>0.42</v>
      </c>
      <c r="AD13" s="130" t="str">
        <f>IFERROR(IF(AC13="","",IF(AC13&lt;=0.2,"Muy Baja",IF(AC13&lt;=0.4,"Baja",IF(AC13&lt;=0.6,"Media",IF(AC13&lt;=0.8,"Alta","Muy Alta"))))),"")</f>
        <v>Media</v>
      </c>
      <c r="AE13" s="131">
        <f>+AC13</f>
        <v>0.42</v>
      </c>
      <c r="AF13" s="130" t="str">
        <f>IFERROR(IF(AG13="","",IF(AG13&lt;=0.2,"Leve",IF(AG13&lt;=0.4,"Menor",IF(AG13&lt;=0.6,"Moderado",IF(AG13&lt;=0.8,"Mayor","Catastrófico"))))),"")</f>
        <v>Mayor</v>
      </c>
      <c r="AG13" s="131">
        <f>IFERROR(IF(V13="Impacto",(Q13-(+Q13*Y13)),IF(V13="Probabilidad",Q13,"")),"")</f>
        <v>0.8</v>
      </c>
      <c r="AH13" s="132"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Alto</v>
      </c>
      <c r="AI13" s="127" t="s">
        <v>135</v>
      </c>
      <c r="AJ13" s="117"/>
      <c r="AK13" s="117"/>
      <c r="AL13" s="133"/>
      <c r="AM13" s="133">
        <v>44690</v>
      </c>
      <c r="AN13" s="117" t="s">
        <v>279</v>
      </c>
      <c r="AO13" s="119" t="s">
        <v>39</v>
      </c>
      <c r="AP13" s="133">
        <v>44785</v>
      </c>
      <c r="AQ13" s="152" t="s">
        <v>276</v>
      </c>
      <c r="AR13" s="119" t="s">
        <v>40</v>
      </c>
      <c r="AS13" s="133">
        <v>44881</v>
      </c>
      <c r="AT13" s="152" t="s">
        <v>280</v>
      </c>
      <c r="AU13" s="119" t="s">
        <v>39</v>
      </c>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49.5" customHeight="1" x14ac:dyDescent="0.3">
      <c r="A14" s="115"/>
      <c r="B14" s="149"/>
      <c r="C14" s="149"/>
      <c r="D14" s="208" t="s">
        <v>130</v>
      </c>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10"/>
    </row>
    <row r="16" spans="1:73" x14ac:dyDescent="0.3">
      <c r="A16" s="135"/>
      <c r="B16" s="136"/>
      <c r="C16" s="136"/>
      <c r="D16" s="136"/>
      <c r="E16" s="136"/>
      <c r="F16" s="136"/>
      <c r="G16" s="136"/>
      <c r="H16" s="1"/>
      <c r="I16" s="1"/>
      <c r="J16" s="1"/>
      <c r="L16" s="139"/>
      <c r="M16" s="136"/>
      <c r="N16" s="136"/>
      <c r="O16" s="136"/>
      <c r="P16" s="136"/>
      <c r="Q16" s="136"/>
      <c r="R16" s="136"/>
      <c r="S16" s="136"/>
      <c r="T16" s="136"/>
      <c r="U16" s="136"/>
      <c r="V16" s="140"/>
      <c r="W16" s="140"/>
      <c r="X16" s="136"/>
      <c r="Y16" s="136"/>
      <c r="Z16" s="136"/>
      <c r="AA16" s="136"/>
      <c r="AB16" s="136"/>
      <c r="AC16" s="136"/>
      <c r="AD16" s="136"/>
      <c r="AE16" s="136"/>
      <c r="AF16" s="136"/>
      <c r="AG16" s="136"/>
      <c r="AH16" s="136"/>
      <c r="AI16" s="141"/>
      <c r="AJ16" s="141"/>
      <c r="AK16" s="136"/>
      <c r="AL16" s="136"/>
      <c r="AM16" s="136"/>
      <c r="AN16" s="136"/>
      <c r="AO16" s="136"/>
      <c r="AP16" s="136"/>
      <c r="AQ16" s="136"/>
    </row>
    <row r="17" spans="1:43" ht="18" x14ac:dyDescent="0.3">
      <c r="A17" s="211" t="s">
        <v>277</v>
      </c>
      <c r="B17" s="211"/>
      <c r="C17" s="211"/>
      <c r="D17" s="211"/>
      <c r="E17" s="211"/>
      <c r="F17" s="211"/>
      <c r="G17" s="211"/>
      <c r="H17" s="1"/>
      <c r="I17" s="1"/>
      <c r="J17" s="1"/>
      <c r="K17" s="214" t="s">
        <v>283</v>
      </c>
      <c r="L17" s="215"/>
      <c r="M17" s="215"/>
      <c r="N17" s="216"/>
      <c r="O17" s="136"/>
      <c r="P17" s="136"/>
      <c r="Q17" s="136"/>
      <c r="R17" s="136"/>
      <c r="S17" s="136"/>
      <c r="T17" s="136"/>
      <c r="U17" s="141"/>
      <c r="V17" s="140"/>
      <c r="W17" s="140"/>
      <c r="X17" s="136"/>
      <c r="Y17" s="140"/>
      <c r="Z17" s="140"/>
      <c r="AA17" s="136"/>
      <c r="AB17" s="136"/>
      <c r="AC17" s="136"/>
      <c r="AD17" s="136"/>
      <c r="AE17" s="136"/>
      <c r="AF17" s="136"/>
      <c r="AG17" s="136"/>
      <c r="AH17" s="136"/>
      <c r="AI17" s="136"/>
      <c r="AJ17" s="136"/>
      <c r="AK17" s="136"/>
      <c r="AL17" s="136"/>
      <c r="AM17" s="136"/>
      <c r="AN17" s="136"/>
      <c r="AO17" s="136"/>
      <c r="AP17" s="136"/>
      <c r="AQ17" s="136"/>
    </row>
    <row r="18" spans="1:43" ht="17.25" thickBot="1" x14ac:dyDescent="0.35">
      <c r="A18"/>
      <c r="B18"/>
      <c r="C18"/>
      <c r="D18"/>
      <c r="E18"/>
      <c r="F18"/>
      <c r="G18"/>
      <c r="H18" s="1"/>
      <c r="I18" s="1"/>
      <c r="J18" s="1"/>
      <c r="L18" s="137" t="str">
        <f>+IFERROR(VLOOKUP(H18,$H$173:$L$177,3,FALSE)*VLOOKUP(K18,$K$173:$L$177,3,FALSE),"")</f>
        <v/>
      </c>
      <c r="M18"/>
      <c r="N18"/>
      <c r="O18"/>
      <c r="P18"/>
      <c r="Q18"/>
      <c r="R18"/>
      <c r="S18"/>
      <c r="T18"/>
      <c r="U18"/>
      <c r="V18" s="137"/>
      <c r="W18" s="138"/>
      <c r="X18"/>
      <c r="Y18" s="138"/>
      <c r="Z18" s="138"/>
      <c r="AA18" s="144"/>
      <c r="AB18" s="144"/>
      <c r="AC18" s="144"/>
      <c r="AD18" s="144"/>
      <c r="AE18" s="142"/>
      <c r="AF18" s="142"/>
      <c r="AG18" s="144"/>
      <c r="AH18" s="145"/>
      <c r="AI18"/>
      <c r="AJ18"/>
      <c r="AK18"/>
      <c r="AL18" s="144"/>
      <c r="AM18"/>
      <c r="AN18" s="144"/>
      <c r="AO18"/>
      <c r="AP18" s="144"/>
      <c r="AQ18"/>
    </row>
    <row r="19" spans="1:43" ht="17.45" customHeight="1" thickTop="1" thickBot="1" x14ac:dyDescent="0.35">
      <c r="A19" s="212" t="s">
        <v>217</v>
      </c>
      <c r="B19" s="212"/>
      <c r="C19" s="212"/>
      <c r="D19" s="212"/>
      <c r="E19" s="212"/>
      <c r="F19" s="212"/>
      <c r="G19" s="147" t="s">
        <v>218</v>
      </c>
      <c r="H19" s="212" t="s">
        <v>219</v>
      </c>
      <c r="I19" s="212"/>
      <c r="J19" s="212"/>
      <c r="K19" s="212"/>
      <c r="L19" s="212"/>
      <c r="M19" s="212"/>
      <c r="N19" s="212"/>
      <c r="O19" s="148"/>
      <c r="P19" s="213" t="s">
        <v>220</v>
      </c>
      <c r="Q19" s="213"/>
      <c r="R19" s="213"/>
      <c r="S19" s="212" t="s">
        <v>221</v>
      </c>
      <c r="T19" s="212"/>
      <c r="U19" s="212"/>
      <c r="V19" s="212"/>
      <c r="W19" s="213">
        <v>1</v>
      </c>
      <c r="X19" s="213"/>
      <c r="Y19" s="213"/>
      <c r="Z19" s="213"/>
      <c r="AA19" s="146"/>
      <c r="AB19" s="146"/>
      <c r="AC19" s="146"/>
      <c r="AD19" s="146"/>
      <c r="AE19" s="146"/>
      <c r="AF19" s="146"/>
      <c r="AG19" s="146"/>
      <c r="AH19" s="146"/>
      <c r="AI19" s="146"/>
      <c r="AJ19" s="146"/>
      <c r="AK19" s="146"/>
      <c r="AL19" s="146"/>
      <c r="AM19" s="146"/>
      <c r="AN19" s="146"/>
      <c r="AO19" s="146"/>
      <c r="AP19" s="146"/>
      <c r="AQ19" s="143"/>
    </row>
    <row r="20" spans="1:43" ht="17.25" thickTop="1" x14ac:dyDescent="0.3"/>
  </sheetData>
  <dataConsolidate/>
  <mergeCells count="67">
    <mergeCell ref="AJ8:AU8"/>
    <mergeCell ref="AR9:AR10"/>
    <mergeCell ref="AS9:AS10"/>
    <mergeCell ref="AT9:AT10"/>
    <mergeCell ref="A5:B5"/>
    <mergeCell ref="A6:B6"/>
    <mergeCell ref="A7:B7"/>
    <mergeCell ref="A8:K8"/>
    <mergeCell ref="L8:R8"/>
    <mergeCell ref="S8:AB8"/>
    <mergeCell ref="S9:S10"/>
    <mergeCell ref="T9:T10"/>
    <mergeCell ref="B9:B10"/>
    <mergeCell ref="V9:V10"/>
    <mergeCell ref="S19:V19"/>
    <mergeCell ref="W19:Z19"/>
    <mergeCell ref="A19:F19"/>
    <mergeCell ref="K17:N17"/>
    <mergeCell ref="H19:N19"/>
    <mergeCell ref="P19:R19"/>
    <mergeCell ref="D14:AO14"/>
    <mergeCell ref="A17:G17"/>
    <mergeCell ref="G9:G10"/>
    <mergeCell ref="F9:F10"/>
    <mergeCell ref="E9:E10"/>
    <mergeCell ref="D9:D10"/>
    <mergeCell ref="R9:R10"/>
    <mergeCell ref="N9:N10"/>
    <mergeCell ref="O9:O10"/>
    <mergeCell ref="AO9:AO10"/>
    <mergeCell ref="AN9:AN10"/>
    <mergeCell ref="AM9:AM10"/>
    <mergeCell ref="AL9:AL10"/>
    <mergeCell ref="AK9:AK10"/>
    <mergeCell ref="C9:C10"/>
    <mergeCell ref="A1:D4"/>
    <mergeCell ref="AF9:AF10"/>
    <mergeCell ref="AD9:AD10"/>
    <mergeCell ref="AE9:AE10"/>
    <mergeCell ref="K9:K10"/>
    <mergeCell ref="L9:L10"/>
    <mergeCell ref="M9:M10"/>
    <mergeCell ref="P9:P10"/>
    <mergeCell ref="Q9:Q10"/>
    <mergeCell ref="W9:AB9"/>
    <mergeCell ref="AC8:AI8"/>
    <mergeCell ref="A9:A10"/>
    <mergeCell ref="H9:H10"/>
    <mergeCell ref="E1:AS4"/>
    <mergeCell ref="AP9:AP10"/>
    <mergeCell ref="AQ9:AQ10"/>
    <mergeCell ref="AT1:AU1"/>
    <mergeCell ref="AT2:AU2"/>
    <mergeCell ref="AT3:AU3"/>
    <mergeCell ref="AT4:AU4"/>
    <mergeCell ref="AJ9:AJ10"/>
    <mergeCell ref="C7:AU7"/>
    <mergeCell ref="C6:AU6"/>
    <mergeCell ref="C5:AU5"/>
    <mergeCell ref="I9:I10"/>
    <mergeCell ref="J9:J10"/>
    <mergeCell ref="AI9:AI10"/>
    <mergeCell ref="AH9:AH10"/>
    <mergeCell ref="AG9:AG10"/>
    <mergeCell ref="AC9:AC10"/>
    <mergeCell ref="U9:U10"/>
    <mergeCell ref="AU9:AU10"/>
  </mergeCells>
  <conditionalFormatting sqref="L11:L12">
    <cfRule type="cellIs" dxfId="62" priority="374" operator="equal">
      <formula>"Muy Alta"</formula>
    </cfRule>
    <cfRule type="cellIs" dxfId="61" priority="375" operator="equal">
      <formula>"Alta"</formula>
    </cfRule>
    <cfRule type="cellIs" dxfId="60" priority="376" operator="equal">
      <formula>"Media"</formula>
    </cfRule>
    <cfRule type="cellIs" dxfId="59" priority="377" operator="equal">
      <formula>"Baja"</formula>
    </cfRule>
    <cfRule type="cellIs" dxfId="58" priority="378" operator="equal">
      <formula>"Muy Baja"</formula>
    </cfRule>
  </conditionalFormatting>
  <conditionalFormatting sqref="P11:P13">
    <cfRule type="cellIs" dxfId="57" priority="369" operator="equal">
      <formula>"Catastrófico"</formula>
    </cfRule>
    <cfRule type="cellIs" dxfId="56" priority="370" operator="equal">
      <formula>"Mayor"</formula>
    </cfRule>
    <cfRule type="cellIs" dxfId="55" priority="371" operator="equal">
      <formula>"Moderado"</formula>
    </cfRule>
    <cfRule type="cellIs" dxfId="54" priority="372" operator="equal">
      <formula>"Menor"</formula>
    </cfRule>
    <cfRule type="cellIs" dxfId="53" priority="373" operator="equal">
      <formula>"Leve"</formula>
    </cfRule>
  </conditionalFormatting>
  <conditionalFormatting sqref="R11:R12">
    <cfRule type="cellIs" dxfId="52" priority="295" operator="equal">
      <formula>"Extremo"</formula>
    </cfRule>
    <cfRule type="cellIs" dxfId="51" priority="296" operator="equal">
      <formula>"Alto"</formula>
    </cfRule>
    <cfRule type="cellIs" dxfId="50" priority="297" operator="equal">
      <formula>"Moderado"</formula>
    </cfRule>
    <cfRule type="cellIs" dxfId="49" priority="298" operator="equal">
      <formula>"Bajo"</formula>
    </cfRule>
  </conditionalFormatting>
  <conditionalFormatting sqref="AD11:AD12">
    <cfRule type="cellIs" dxfId="48" priority="290" operator="equal">
      <formula>"Muy Alta"</formula>
    </cfRule>
    <cfRule type="cellIs" dxfId="47" priority="291" operator="equal">
      <formula>"Alta"</formula>
    </cfRule>
    <cfRule type="cellIs" dxfId="46" priority="292" operator="equal">
      <formula>"Media"</formula>
    </cfRule>
    <cfRule type="cellIs" dxfId="45" priority="293" operator="equal">
      <formula>"Baja"</formula>
    </cfRule>
    <cfRule type="cellIs" dxfId="44" priority="294" operator="equal">
      <formula>"Muy Baja"</formula>
    </cfRule>
  </conditionalFormatting>
  <conditionalFormatting sqref="AF11:AF12">
    <cfRule type="cellIs" dxfId="43" priority="285" operator="equal">
      <formula>"Catastrófico"</formula>
    </cfRule>
    <cfRule type="cellIs" dxfId="42" priority="286" operator="equal">
      <formula>"Mayor"</formula>
    </cfRule>
    <cfRule type="cellIs" dxfId="41" priority="287" operator="equal">
      <formula>"Moderado"</formula>
    </cfRule>
    <cfRule type="cellIs" dxfId="40" priority="288" operator="equal">
      <formula>"Menor"</formula>
    </cfRule>
    <cfRule type="cellIs" dxfId="39" priority="289" operator="equal">
      <formula>"Leve"</formula>
    </cfRule>
  </conditionalFormatting>
  <conditionalFormatting sqref="AH11:AH12">
    <cfRule type="cellIs" dxfId="38" priority="281" operator="equal">
      <formula>"Extremo"</formula>
    </cfRule>
    <cfRule type="cellIs" dxfId="37" priority="282" operator="equal">
      <formula>"Alto"</formula>
    </cfRule>
    <cfRule type="cellIs" dxfId="36" priority="283" operator="equal">
      <formula>"Moderado"</formula>
    </cfRule>
    <cfRule type="cellIs" dxfId="35" priority="284" operator="equal">
      <formula>"Bajo"</formula>
    </cfRule>
  </conditionalFormatting>
  <conditionalFormatting sqref="O11:O12">
    <cfRule type="containsText" dxfId="34" priority="56" operator="containsText" text="❌">
      <formula>NOT(ISERROR(SEARCH("❌",O11)))</formula>
    </cfRule>
  </conditionalFormatting>
  <conditionalFormatting sqref="L13">
    <cfRule type="cellIs" dxfId="33" priority="46" operator="equal">
      <formula>"Muy Alta"</formula>
    </cfRule>
    <cfRule type="cellIs" dxfId="32" priority="47" operator="equal">
      <formula>"Alta"</formula>
    </cfRule>
    <cfRule type="cellIs" dxfId="31" priority="48" operator="equal">
      <formula>"Media"</formula>
    </cfRule>
    <cfRule type="cellIs" dxfId="30" priority="49" operator="equal">
      <formula>"Baja"</formula>
    </cfRule>
    <cfRule type="cellIs" dxfId="29" priority="50" operator="equal">
      <formula>"Muy Baja"</formula>
    </cfRule>
  </conditionalFormatting>
  <conditionalFormatting sqref="AD13">
    <cfRule type="cellIs" dxfId="28" priority="32" operator="equal">
      <formula>"Muy Alta"</formula>
    </cfRule>
    <cfRule type="cellIs" dxfId="27" priority="33" operator="equal">
      <formula>"Alta"</formula>
    </cfRule>
    <cfRule type="cellIs" dxfId="26" priority="34" operator="equal">
      <formula>"Media"</formula>
    </cfRule>
    <cfRule type="cellIs" dxfId="25" priority="35" operator="equal">
      <formula>"Baja"</formula>
    </cfRule>
    <cfRule type="cellIs" dxfId="24" priority="36" operator="equal">
      <formula>"Muy Baja"</formula>
    </cfRule>
  </conditionalFormatting>
  <conditionalFormatting sqref="AF13">
    <cfRule type="cellIs" dxfId="23" priority="27" operator="equal">
      <formula>"Catastrófico"</formula>
    </cfRule>
    <cfRule type="cellIs" dxfId="22" priority="28" operator="equal">
      <formula>"Mayor"</formula>
    </cfRule>
    <cfRule type="cellIs" dxfId="21" priority="29" operator="equal">
      <formula>"Moderado"</formula>
    </cfRule>
    <cfRule type="cellIs" dxfId="20" priority="30" operator="equal">
      <formula>"Menor"</formula>
    </cfRule>
    <cfRule type="cellIs" dxfId="19" priority="31" operator="equal">
      <formula>"Leve"</formula>
    </cfRule>
  </conditionalFormatting>
  <conditionalFormatting sqref="AH13">
    <cfRule type="cellIs" dxfId="18" priority="23" operator="equal">
      <formula>"Extremo"</formula>
    </cfRule>
    <cfRule type="cellIs" dxfId="17" priority="24" operator="equal">
      <formula>"Alto"</formula>
    </cfRule>
    <cfRule type="cellIs" dxfId="16" priority="25" operator="equal">
      <formula>"Moderado"</formula>
    </cfRule>
    <cfRule type="cellIs" dxfId="15" priority="26" operator="equal">
      <formula>"Bajo"</formula>
    </cfRule>
  </conditionalFormatting>
  <conditionalFormatting sqref="AE16:AE18">
    <cfRule type="cellIs" dxfId="14" priority="10" stopIfTrue="1" operator="equal">
      <formula>#REF!</formula>
    </cfRule>
    <cfRule type="cellIs" dxfId="13" priority="11" operator="equal">
      <formula>#REF!</formula>
    </cfRule>
    <cfRule type="cellIs" dxfId="12" priority="12" operator="equal">
      <formula>#REF!</formula>
    </cfRule>
  </conditionalFormatting>
  <conditionalFormatting sqref="AF16:AF18">
    <cfRule type="cellIs" dxfId="11" priority="13" stopIfTrue="1" operator="equal">
      <formula>#REF!</formula>
    </cfRule>
    <cfRule type="cellIs" dxfId="10" priority="14" stopIfTrue="1" operator="equal">
      <formula>#REF!</formula>
    </cfRule>
    <cfRule type="cellIs" dxfId="9" priority="15" stopIfTrue="1" operator="equal">
      <formula>#REF!</formula>
    </cfRule>
  </conditionalFormatting>
  <conditionalFormatting sqref="O13">
    <cfRule type="containsText" dxfId="8" priority="5" operator="containsText" text="❌">
      <formula>NOT(ISERROR(SEARCH("❌",O13)))</formula>
    </cfRule>
  </conditionalFormatting>
  <conditionalFormatting sqref="R13">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dataValidations count="6">
    <dataValidation type="list" allowBlank="1" showInputMessage="1" showErrorMessage="1" sqref="G16" xr:uid="{00000000-0002-0000-0100-000000000000}">
      <formula1>$G$173:$G$182</formula1>
    </dataValidation>
    <dataValidation type="list" allowBlank="1" showInputMessage="1" showErrorMessage="1" sqref="G18 AE18:AF18" xr:uid="{00000000-0002-0000-0100-000001000000}">
      <formula1>#REF!</formula1>
    </dataValidation>
    <dataValidation type="list" allowBlank="1" showInputMessage="1" showErrorMessage="1" sqref="V18" xr:uid="{00000000-0002-0000-0100-000002000000}">
      <formula1>$N$173:$N$174</formula1>
    </dataValidation>
    <dataValidation type="list" allowBlank="1" showInputMessage="1" showErrorMessage="1" sqref="K18" xr:uid="{00000000-0002-0000-0100-000003000000}">
      <formula1>$K$173:$K$177</formula1>
    </dataValidation>
    <dataValidation type="list" allowBlank="1" showInputMessage="1" showErrorMessage="1" sqref="H18:J18" xr:uid="{00000000-0002-0000-0100-000004000000}">
      <formula1>$H$173:$H$177</formula1>
    </dataValidation>
    <dataValidation type="list" allowBlank="1" showInputMessage="1" showErrorMessage="1" sqref="AP18 AN18 AL18 W18 Y18:AD18" xr:uid="{00000000-0002-0000-0100-000005000000}">
      <formula1>$AL$173:$AL$180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6000000}">
          <x14:formula1>
            <xm:f>'Opciones Tratamiento'!$B$9:$B$10</xm:f>
          </x14:formula1>
          <xm:sqref>AU11:AU13 AR11:AR13 AO11:AO13</xm:sqref>
        </x14:dataValidation>
        <x14:dataValidation type="list" allowBlank="1" showInputMessage="1" showErrorMessage="1" xr:uid="{00000000-0002-0000-0100-000007000000}">
          <x14:formula1>
            <xm:f>'Tabla Valoración controles'!$D$4:$D$6</xm:f>
          </x14:formula1>
          <xm:sqref>W11:W13</xm:sqref>
        </x14:dataValidation>
        <x14:dataValidation type="list" allowBlank="1" showInputMessage="1" showErrorMessage="1" xr:uid="{00000000-0002-0000-0100-000008000000}">
          <x14:formula1>
            <xm:f>'Tabla Valoración controles'!$D$7:$D$8</xm:f>
          </x14:formula1>
          <xm:sqref>X11:X13</xm:sqref>
        </x14:dataValidation>
        <x14:dataValidation type="list" allowBlank="1" showInputMessage="1" showErrorMessage="1" xr:uid="{00000000-0002-0000-0100-000009000000}">
          <x14:formula1>
            <xm:f>'Tabla Valoración controles'!$D$9:$D$10</xm:f>
          </x14:formula1>
          <xm:sqref>Z11:Z13</xm:sqref>
        </x14:dataValidation>
        <x14:dataValidation type="list" allowBlank="1" showInputMessage="1" showErrorMessage="1" xr:uid="{00000000-0002-0000-0100-00000A000000}">
          <x14:formula1>
            <xm:f>'Tabla Valoración controles'!$D$11:$D$12</xm:f>
          </x14:formula1>
          <xm:sqref>AA11:AA13</xm:sqref>
        </x14:dataValidation>
        <x14:dataValidation type="list" allowBlank="1" showInputMessage="1" showErrorMessage="1" xr:uid="{00000000-0002-0000-0100-00000B000000}">
          <x14:formula1>
            <xm:f>'Tabla Valoración controles'!$D$13:$D$14</xm:f>
          </x14:formula1>
          <xm:sqref>AB11:AB13</xm:sqref>
        </x14:dataValidation>
        <x14:dataValidation type="list" allowBlank="1" showInputMessage="1" showErrorMessage="1" xr:uid="{00000000-0002-0000-0100-00000C000000}">
          <x14:formula1>
            <xm:f>'Opciones Tratamiento'!$B$13:$B$19</xm:f>
          </x14:formula1>
          <xm:sqref>H11:H13</xm:sqref>
        </x14:dataValidation>
        <x14:dataValidation type="list" allowBlank="1" showInputMessage="1" showErrorMessage="1" xr:uid="{00000000-0002-0000-0100-00000D000000}">
          <x14:formula1>
            <xm:f>'Opciones Tratamiento'!$E$2:$E$4</xm:f>
          </x14:formula1>
          <xm:sqref>D11:D13</xm:sqref>
        </x14:dataValidation>
        <x14:dataValidation type="list" allowBlank="1" showInputMessage="1" showErrorMessage="1" xr:uid="{00000000-0002-0000-0100-00000E000000}">
          <x14:formula1>
            <xm:f>'Opciones Tratamiento'!$B$2:$B$5</xm:f>
          </x14:formula1>
          <xm:sqref>AI11:AI13</xm:sqref>
        </x14:dataValidation>
        <x14:dataValidation type="list" allowBlank="1" showInputMessage="1" showErrorMessage="1" xr:uid="{00000000-0002-0000-0100-00000F000000}">
          <x14:formula1>
            <xm:f>'Tabla Impacto'!$F$210:$F$221</xm:f>
          </x14:formula1>
          <xm:sqref>N11:N13</xm:sqref>
        </x14:dataValidation>
        <x14:dataValidation type="custom" allowBlank="1" showInputMessage="1" showErrorMessage="1" error="Recuerde que las acciones se generan bajo la medida de mitigar el riesgo" xr:uid="{00000000-0002-0000-0100-000010000000}">
          <x14:formula1>
            <xm:f>IF(OR(AI11='Opciones Tratamiento'!$B$2,AI11='Opciones Tratamiento'!$B$3,AI11='Opciones Tratamiento'!$B$4),ISBLANK(AI11),ISTEXT(AI11))</xm:f>
          </x14:formula1>
          <xm:sqref>AJ11:AJ13</xm:sqref>
        </x14:dataValidation>
        <x14:dataValidation type="custom" allowBlank="1" showInputMessage="1" showErrorMessage="1" error="Recuerde que las acciones se generan bajo la medida de mitigar el riesgo" xr:uid="{00000000-0002-0000-0100-000011000000}">
          <x14:formula1>
            <xm:f>IF(OR(AI11='Opciones Tratamiento'!$B$2,AI11='Opciones Tratamiento'!$B$3,AI11='Opciones Tratamiento'!$B$4),ISBLANK(AI11),ISTEXT(AI11))</xm:f>
          </x14:formula1>
          <xm:sqref>AK11:AK13</xm:sqref>
        </x14:dataValidation>
        <x14:dataValidation type="custom" allowBlank="1" showInputMessage="1" showErrorMessage="1" error="Recuerde que las acciones se generan bajo la medida de mitigar el riesgo" xr:uid="{00000000-0002-0000-0100-000012000000}">
          <x14:formula1>
            <xm:f>IF(OR(AI11='Opciones Tratamiento'!$B$2,AI11='Opciones Tratamiento'!$B$3,AI11='Opciones Tratamiento'!$B$4),ISBLANK(AI11),ISTEXT(AI11))</xm:f>
          </x14:formula1>
          <xm:sqref>AL11:AL13</xm:sqref>
        </x14:dataValidation>
        <x14:dataValidation type="custom" allowBlank="1" showInputMessage="1" showErrorMessage="1" error="Recuerde que las acciones se generan bajo la medida de mitigar el riesgo" xr:uid="{00000000-0002-0000-0100-000013000000}">
          <x14:formula1>
            <xm:f>IF(OR(AI11='Opciones Tratamiento'!$B$2,AI11='Opciones Tratamiento'!$B$3,AI11='Opciones Tratamiento'!$B$4),ISBLANK(AI11),ISTEXT(AI11))</xm:f>
          </x14:formula1>
          <xm:sqref>AP11:AP13 AS11:AS13 AM11:AM13</xm:sqref>
        </x14:dataValidation>
        <x14:dataValidation type="custom" allowBlank="1" showInputMessage="1" showErrorMessage="1" error="Recuerde que las acciones se generan bajo la medida de mitigar el riesgo" xr:uid="{00000000-0002-0000-0100-000014000000}">
          <x14:formula1>
            <xm:f>IF(OR(AI11='Opciones Tratamiento'!$B$2,AI11='Opciones Tratamiento'!$B$3,AI11='Opciones Tratamiento'!$B$4),ISBLANK(AI11),ISTEXT(AI11))</xm:f>
          </x14:formula1>
          <xm:sqref>AT11:AT13 AQ11:AQ13 AN11:AN13</xm:sqref>
        </x14:dataValidation>
        <x14:dataValidation type="list" allowBlank="1" showInputMessage="1" showErrorMessage="1" xr:uid="{00000000-0002-0000-0100-000015000000}">
          <x14:formula1>
            <xm:f>Listas!$A$2:$A$9</xm:f>
          </x14:formula1>
          <xm:sqref>B11:B13</xm:sqref>
        </x14:dataValidation>
        <x14:dataValidation type="list" allowBlank="1" showInputMessage="1" showErrorMessage="1" xr:uid="{00000000-0002-0000-0100-000016000000}">
          <x14:formula1>
            <xm:f>Listas!$B$2:$B$7</xm:f>
          </x14:formula1>
          <xm:sqref>C11:C13</xm:sqref>
        </x14:dataValidation>
        <x14:dataValidation type="list" allowBlank="1" showInputMessage="1" showErrorMessage="1" xr:uid="{00000000-0002-0000-0100-000017000000}">
          <x14:formula1>
            <xm:f>Listas!$C$2:$C$6</xm:f>
          </x14:formula1>
          <xm:sqref>I11:I13</xm:sqref>
        </x14:dataValidation>
        <x14:dataValidation type="list" allowBlank="1" showInputMessage="1" showErrorMessage="1" xr:uid="{00000000-0002-0000-0100-000018000000}">
          <x14:formula1>
            <xm:f>Listas!$D$2:$D$5</xm:f>
          </x14:formula1>
          <xm:sqref>J11:J13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RowHeight="15" x14ac:dyDescent="0.25"/>
  <cols>
    <col min="2" max="39" width="5.5703125" customWidth="1"/>
    <col min="41" max="46" width="5.570312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221" t="s">
        <v>158</v>
      </c>
      <c r="C2" s="221"/>
      <c r="D2" s="221"/>
      <c r="E2" s="221"/>
      <c r="F2" s="221"/>
      <c r="G2" s="221"/>
      <c r="H2" s="221"/>
      <c r="I2" s="221"/>
      <c r="J2" s="258" t="s">
        <v>2</v>
      </c>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221"/>
      <c r="C3" s="221"/>
      <c r="D3" s="221"/>
      <c r="E3" s="221"/>
      <c r="F3" s="221"/>
      <c r="G3" s="221"/>
      <c r="H3" s="221"/>
      <c r="I3" s="221"/>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221"/>
      <c r="C4" s="221"/>
      <c r="D4" s="221"/>
      <c r="E4" s="221"/>
      <c r="F4" s="221"/>
      <c r="G4" s="221"/>
      <c r="H4" s="221"/>
      <c r="I4" s="221"/>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69" t="s">
        <v>4</v>
      </c>
      <c r="C6" s="269"/>
      <c r="D6" s="270"/>
      <c r="E6" s="259" t="s">
        <v>115</v>
      </c>
      <c r="F6" s="260"/>
      <c r="G6" s="260"/>
      <c r="H6" s="260"/>
      <c r="I6" s="261"/>
      <c r="J6" s="255" t="e">
        <f>IF(AND('Mapa final'!#REF!="Muy Alta",'Mapa final'!#REF!="Leve"),CONCATENATE("R",'Mapa final'!#REF!),"")</f>
        <v>#REF!</v>
      </c>
      <c r="K6" s="256"/>
      <c r="L6" s="256" t="str">
        <f>IF(AND('Mapa final'!$L$11="Muy Alta",'Mapa final'!$P$11="Leve"),CONCATENATE("R",'Mapa final'!$A$11),"")</f>
        <v/>
      </c>
      <c r="M6" s="256"/>
      <c r="N6" s="256" t="e">
        <f>IF(AND('Mapa final'!#REF!="Muy Alta",'Mapa final'!#REF!="Leve"),CONCATENATE("R",'Mapa final'!#REF!),"")</f>
        <v>#REF!</v>
      </c>
      <c r="O6" s="257"/>
      <c r="P6" s="255" t="e">
        <f>IF(AND('Mapa final'!#REF!="Muy Alta",'Mapa final'!#REF!="Menor"),CONCATENATE("R",'Mapa final'!#REF!),"")</f>
        <v>#REF!</v>
      </c>
      <c r="Q6" s="256"/>
      <c r="R6" s="256" t="str">
        <f>IF(AND('Mapa final'!$L$11="Muy Alta",'Mapa final'!$P$11="Menor"),CONCATENATE("R",'Mapa final'!$A$11),"")</f>
        <v/>
      </c>
      <c r="S6" s="256"/>
      <c r="T6" s="256" t="e">
        <f>IF(AND('Mapa final'!#REF!="Muy Alta",'Mapa final'!#REF!="Menor"),CONCATENATE("R",'Mapa final'!#REF!),"")</f>
        <v>#REF!</v>
      </c>
      <c r="U6" s="257"/>
      <c r="V6" s="255" t="e">
        <f>IF(AND('Mapa final'!#REF!="Muy Alta",'Mapa final'!#REF!="Moderado"),CONCATENATE("R",'Mapa final'!#REF!),"")</f>
        <v>#REF!</v>
      </c>
      <c r="W6" s="256"/>
      <c r="X6" s="256" t="str">
        <f>IF(AND('Mapa final'!$L$11="Muy Alta",'Mapa final'!$P$11="Moderado"),CONCATENATE("R",'Mapa final'!$A$11),"")</f>
        <v/>
      </c>
      <c r="Y6" s="256"/>
      <c r="Z6" s="256" t="e">
        <f>IF(AND('Mapa final'!#REF!="Muy Alta",'Mapa final'!#REF!="Moderado"),CONCATENATE("R",'Mapa final'!#REF!),"")</f>
        <v>#REF!</v>
      </c>
      <c r="AA6" s="257"/>
      <c r="AB6" s="255" t="e">
        <f>IF(AND('Mapa final'!#REF!="Muy Alta",'Mapa final'!#REF!="Mayor"),CONCATENATE("R",'Mapa final'!#REF!),"")</f>
        <v>#REF!</v>
      </c>
      <c r="AC6" s="256"/>
      <c r="AD6" s="256" t="str">
        <f>IF(AND('Mapa final'!$L$11="Muy Alta",'Mapa final'!$P$11="Mayor"),CONCATENATE("R",'Mapa final'!$A$11),"")</f>
        <v/>
      </c>
      <c r="AE6" s="256"/>
      <c r="AF6" s="256" t="e">
        <f>IF(AND('Mapa final'!#REF!="Muy Alta",'Mapa final'!#REF!="Mayor"),CONCATENATE("R",'Mapa final'!#REF!),"")</f>
        <v>#REF!</v>
      </c>
      <c r="AG6" s="257"/>
      <c r="AH6" s="246" t="e">
        <f>IF(AND('Mapa final'!#REF!="Muy Alta",'Mapa final'!#REF!="Catastrófico"),CONCATENATE("R",'Mapa final'!#REF!),"")</f>
        <v>#REF!</v>
      </c>
      <c r="AI6" s="247"/>
      <c r="AJ6" s="247" t="str">
        <f>IF(AND('Mapa final'!$L$11="Muy Alta",'Mapa final'!$P$11="Catastrófico"),CONCATENATE("R",'Mapa final'!$A$11),"")</f>
        <v/>
      </c>
      <c r="AK6" s="247"/>
      <c r="AL6" s="247" t="e">
        <f>IF(AND('Mapa final'!#REF!="Muy Alta",'Mapa final'!#REF!="Catastrófico"),CONCATENATE("R",'Mapa final'!#REF!),"")</f>
        <v>#REF!</v>
      </c>
      <c r="AM6" s="248"/>
      <c r="AO6" s="271" t="s">
        <v>78</v>
      </c>
      <c r="AP6" s="272"/>
      <c r="AQ6" s="272"/>
      <c r="AR6" s="272"/>
      <c r="AS6" s="272"/>
      <c r="AT6" s="273"/>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69"/>
      <c r="C7" s="269"/>
      <c r="D7" s="270"/>
      <c r="E7" s="262"/>
      <c r="F7" s="263"/>
      <c r="G7" s="263"/>
      <c r="H7" s="263"/>
      <c r="I7" s="264"/>
      <c r="J7" s="249"/>
      <c r="K7" s="250"/>
      <c r="L7" s="250"/>
      <c r="M7" s="250"/>
      <c r="N7" s="250"/>
      <c r="O7" s="251"/>
      <c r="P7" s="249"/>
      <c r="Q7" s="250"/>
      <c r="R7" s="250"/>
      <c r="S7" s="250"/>
      <c r="T7" s="250"/>
      <c r="U7" s="251"/>
      <c r="V7" s="249"/>
      <c r="W7" s="250"/>
      <c r="X7" s="250"/>
      <c r="Y7" s="250"/>
      <c r="Z7" s="250"/>
      <c r="AA7" s="251"/>
      <c r="AB7" s="249"/>
      <c r="AC7" s="250"/>
      <c r="AD7" s="250"/>
      <c r="AE7" s="250"/>
      <c r="AF7" s="250"/>
      <c r="AG7" s="251"/>
      <c r="AH7" s="240"/>
      <c r="AI7" s="241"/>
      <c r="AJ7" s="241"/>
      <c r="AK7" s="241"/>
      <c r="AL7" s="241"/>
      <c r="AM7" s="242"/>
      <c r="AN7" s="75"/>
      <c r="AO7" s="274"/>
      <c r="AP7" s="275"/>
      <c r="AQ7" s="275"/>
      <c r="AR7" s="275"/>
      <c r="AS7" s="275"/>
      <c r="AT7" s="276"/>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69"/>
      <c r="C8" s="269"/>
      <c r="D8" s="270"/>
      <c r="E8" s="262"/>
      <c r="F8" s="263"/>
      <c r="G8" s="263"/>
      <c r="H8" s="263"/>
      <c r="I8" s="264"/>
      <c r="J8" s="249" t="e">
        <f>IF(AND('Mapa final'!#REF!="Muy Alta",'Mapa final'!#REF!="Leve"),CONCATENATE("R",'Mapa final'!#REF!),"")</f>
        <v>#REF!</v>
      </c>
      <c r="K8" s="250"/>
      <c r="L8" s="250" t="e">
        <f>IF(AND('Mapa final'!#REF!="Muy Alta",'Mapa final'!#REF!="Leve"),CONCATENATE("R",'Mapa final'!#REF!),"")</f>
        <v>#REF!</v>
      </c>
      <c r="M8" s="250"/>
      <c r="N8" s="250" t="e">
        <f>IF(AND('Mapa final'!#REF!="Muy Alta",'Mapa final'!#REF!="Leve"),CONCATENATE("R",'Mapa final'!#REF!),"")</f>
        <v>#REF!</v>
      </c>
      <c r="O8" s="251"/>
      <c r="P8" s="249" t="e">
        <f>IF(AND('Mapa final'!#REF!="Muy Alta",'Mapa final'!#REF!="Menor"),CONCATENATE("R",'Mapa final'!#REF!),"")</f>
        <v>#REF!</v>
      </c>
      <c r="Q8" s="250"/>
      <c r="R8" s="250" t="e">
        <f>IF(AND('Mapa final'!#REF!="Muy Alta",'Mapa final'!#REF!="Menor"),CONCATENATE("R",'Mapa final'!#REF!),"")</f>
        <v>#REF!</v>
      </c>
      <c r="S8" s="250"/>
      <c r="T8" s="250" t="e">
        <f>IF(AND('Mapa final'!#REF!="Muy Alta",'Mapa final'!#REF!="Menor"),CONCATENATE("R",'Mapa final'!#REF!),"")</f>
        <v>#REF!</v>
      </c>
      <c r="U8" s="251"/>
      <c r="V8" s="249" t="e">
        <f>IF(AND('Mapa final'!#REF!="Muy Alta",'Mapa final'!#REF!="Moderado"),CONCATENATE("R",'Mapa final'!#REF!),"")</f>
        <v>#REF!</v>
      </c>
      <c r="W8" s="250"/>
      <c r="X8" s="250" t="e">
        <f>IF(AND('Mapa final'!#REF!="Muy Alta",'Mapa final'!#REF!="Moderado"),CONCATENATE("R",'Mapa final'!#REF!),"")</f>
        <v>#REF!</v>
      </c>
      <c r="Y8" s="250"/>
      <c r="Z8" s="250" t="e">
        <f>IF(AND('Mapa final'!#REF!="Muy Alta",'Mapa final'!#REF!="Moderado"),CONCATENATE("R",'Mapa final'!#REF!),"")</f>
        <v>#REF!</v>
      </c>
      <c r="AA8" s="251"/>
      <c r="AB8" s="249" t="e">
        <f>IF(AND('Mapa final'!#REF!="Muy Alta",'Mapa final'!#REF!="Mayor"),CONCATENATE("R",'Mapa final'!#REF!),"")</f>
        <v>#REF!</v>
      </c>
      <c r="AC8" s="250"/>
      <c r="AD8" s="250" t="e">
        <f>IF(AND('Mapa final'!#REF!="Muy Alta",'Mapa final'!#REF!="Mayor"),CONCATENATE("R",'Mapa final'!#REF!),"")</f>
        <v>#REF!</v>
      </c>
      <c r="AE8" s="250"/>
      <c r="AF8" s="250" t="e">
        <f>IF(AND('Mapa final'!#REF!="Muy Alta",'Mapa final'!#REF!="Mayor"),CONCATENATE("R",'Mapa final'!#REF!),"")</f>
        <v>#REF!</v>
      </c>
      <c r="AG8" s="251"/>
      <c r="AH8" s="240" t="e">
        <f>IF(AND('Mapa final'!#REF!="Muy Alta",'Mapa final'!#REF!="Catastrófico"),CONCATENATE("R",'Mapa final'!#REF!),"")</f>
        <v>#REF!</v>
      </c>
      <c r="AI8" s="241"/>
      <c r="AJ8" s="241" t="e">
        <f>IF(AND('Mapa final'!#REF!="Muy Alta",'Mapa final'!#REF!="Catastrófico"),CONCATENATE("R",'Mapa final'!#REF!),"")</f>
        <v>#REF!</v>
      </c>
      <c r="AK8" s="241"/>
      <c r="AL8" s="241" t="e">
        <f>IF(AND('Mapa final'!#REF!="Muy Alta",'Mapa final'!#REF!="Catastrófico"),CONCATENATE("R",'Mapa final'!#REF!),"")</f>
        <v>#REF!</v>
      </c>
      <c r="AM8" s="242"/>
      <c r="AN8" s="75"/>
      <c r="AO8" s="274"/>
      <c r="AP8" s="275"/>
      <c r="AQ8" s="275"/>
      <c r="AR8" s="275"/>
      <c r="AS8" s="275"/>
      <c r="AT8" s="276"/>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69"/>
      <c r="C9" s="269"/>
      <c r="D9" s="270"/>
      <c r="E9" s="262"/>
      <c r="F9" s="263"/>
      <c r="G9" s="263"/>
      <c r="H9" s="263"/>
      <c r="I9" s="264"/>
      <c r="J9" s="249"/>
      <c r="K9" s="250"/>
      <c r="L9" s="250"/>
      <c r="M9" s="250"/>
      <c r="N9" s="250"/>
      <c r="O9" s="251"/>
      <c r="P9" s="249"/>
      <c r="Q9" s="250"/>
      <c r="R9" s="250"/>
      <c r="S9" s="250"/>
      <c r="T9" s="250"/>
      <c r="U9" s="251"/>
      <c r="V9" s="249"/>
      <c r="W9" s="250"/>
      <c r="X9" s="250"/>
      <c r="Y9" s="250"/>
      <c r="Z9" s="250"/>
      <c r="AA9" s="251"/>
      <c r="AB9" s="249"/>
      <c r="AC9" s="250"/>
      <c r="AD9" s="250"/>
      <c r="AE9" s="250"/>
      <c r="AF9" s="250"/>
      <c r="AG9" s="251"/>
      <c r="AH9" s="240"/>
      <c r="AI9" s="241"/>
      <c r="AJ9" s="241"/>
      <c r="AK9" s="241"/>
      <c r="AL9" s="241"/>
      <c r="AM9" s="242"/>
      <c r="AN9" s="75"/>
      <c r="AO9" s="274"/>
      <c r="AP9" s="275"/>
      <c r="AQ9" s="275"/>
      <c r="AR9" s="275"/>
      <c r="AS9" s="275"/>
      <c r="AT9" s="276"/>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69"/>
      <c r="C10" s="269"/>
      <c r="D10" s="270"/>
      <c r="E10" s="262"/>
      <c r="F10" s="263"/>
      <c r="G10" s="263"/>
      <c r="H10" s="263"/>
      <c r="I10" s="264"/>
      <c r="J10" s="249" t="e">
        <f>IF(AND('Mapa final'!#REF!="Muy Alta",'Mapa final'!#REF!="Leve"),CONCATENATE("R",'Mapa final'!#REF!),"")</f>
        <v>#REF!</v>
      </c>
      <c r="K10" s="250"/>
      <c r="L10" s="250" t="e">
        <f>IF(AND('Mapa final'!#REF!="Muy Alta",'Mapa final'!#REF!="Leve"),CONCATENATE("R",'Mapa final'!#REF!),"")</f>
        <v>#REF!</v>
      </c>
      <c r="M10" s="250"/>
      <c r="N10" s="250" t="e">
        <f>IF(AND('Mapa final'!#REF!="Muy Alta",'Mapa final'!#REF!="Leve"),CONCATENATE("R",'Mapa final'!#REF!),"")</f>
        <v>#REF!</v>
      </c>
      <c r="O10" s="251"/>
      <c r="P10" s="249" t="e">
        <f>IF(AND('Mapa final'!#REF!="Muy Alta",'Mapa final'!#REF!="Menor"),CONCATENATE("R",'Mapa final'!#REF!),"")</f>
        <v>#REF!</v>
      </c>
      <c r="Q10" s="250"/>
      <c r="R10" s="250" t="e">
        <f>IF(AND('Mapa final'!#REF!="Muy Alta",'Mapa final'!#REF!="Menor"),CONCATENATE("R",'Mapa final'!#REF!),"")</f>
        <v>#REF!</v>
      </c>
      <c r="S10" s="250"/>
      <c r="T10" s="250" t="e">
        <f>IF(AND('Mapa final'!#REF!="Muy Alta",'Mapa final'!#REF!="Menor"),CONCATENATE("R",'Mapa final'!#REF!),"")</f>
        <v>#REF!</v>
      </c>
      <c r="U10" s="251"/>
      <c r="V10" s="249" t="e">
        <f>IF(AND('Mapa final'!#REF!="Muy Alta",'Mapa final'!#REF!="Moderado"),CONCATENATE("R",'Mapa final'!#REF!),"")</f>
        <v>#REF!</v>
      </c>
      <c r="W10" s="250"/>
      <c r="X10" s="250" t="e">
        <f>IF(AND('Mapa final'!#REF!="Muy Alta",'Mapa final'!#REF!="Moderado"),CONCATENATE("R",'Mapa final'!#REF!),"")</f>
        <v>#REF!</v>
      </c>
      <c r="Y10" s="250"/>
      <c r="Z10" s="250" t="e">
        <f>IF(AND('Mapa final'!#REF!="Muy Alta",'Mapa final'!#REF!="Moderado"),CONCATENATE("R",'Mapa final'!#REF!),"")</f>
        <v>#REF!</v>
      </c>
      <c r="AA10" s="251"/>
      <c r="AB10" s="249" t="e">
        <f>IF(AND('Mapa final'!#REF!="Muy Alta",'Mapa final'!#REF!="Mayor"),CONCATENATE("R",'Mapa final'!#REF!),"")</f>
        <v>#REF!</v>
      </c>
      <c r="AC10" s="250"/>
      <c r="AD10" s="250" t="e">
        <f>IF(AND('Mapa final'!#REF!="Muy Alta",'Mapa final'!#REF!="Mayor"),CONCATENATE("R",'Mapa final'!#REF!),"")</f>
        <v>#REF!</v>
      </c>
      <c r="AE10" s="250"/>
      <c r="AF10" s="250" t="e">
        <f>IF(AND('Mapa final'!#REF!="Muy Alta",'Mapa final'!#REF!="Mayor"),CONCATENATE("R",'Mapa final'!#REF!),"")</f>
        <v>#REF!</v>
      </c>
      <c r="AG10" s="251"/>
      <c r="AH10" s="240" t="e">
        <f>IF(AND('Mapa final'!#REF!="Muy Alta",'Mapa final'!#REF!="Catastrófico"),CONCATENATE("R",'Mapa final'!#REF!),"")</f>
        <v>#REF!</v>
      </c>
      <c r="AI10" s="241"/>
      <c r="AJ10" s="241" t="e">
        <f>IF(AND('Mapa final'!#REF!="Muy Alta",'Mapa final'!#REF!="Catastrófico"),CONCATENATE("R",'Mapa final'!#REF!),"")</f>
        <v>#REF!</v>
      </c>
      <c r="AK10" s="241"/>
      <c r="AL10" s="241" t="e">
        <f>IF(AND('Mapa final'!#REF!="Muy Alta",'Mapa final'!#REF!="Catastrófico"),CONCATENATE("R",'Mapa final'!#REF!),"")</f>
        <v>#REF!</v>
      </c>
      <c r="AM10" s="242"/>
      <c r="AN10" s="75"/>
      <c r="AO10" s="274"/>
      <c r="AP10" s="275"/>
      <c r="AQ10" s="275"/>
      <c r="AR10" s="275"/>
      <c r="AS10" s="275"/>
      <c r="AT10" s="276"/>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69"/>
      <c r="C11" s="269"/>
      <c r="D11" s="270"/>
      <c r="E11" s="262"/>
      <c r="F11" s="263"/>
      <c r="G11" s="263"/>
      <c r="H11" s="263"/>
      <c r="I11" s="264"/>
      <c r="J11" s="249"/>
      <c r="K11" s="250"/>
      <c r="L11" s="250"/>
      <c r="M11" s="250"/>
      <c r="N11" s="250"/>
      <c r="O11" s="251"/>
      <c r="P11" s="249"/>
      <c r="Q11" s="250"/>
      <c r="R11" s="250"/>
      <c r="S11" s="250"/>
      <c r="T11" s="250"/>
      <c r="U11" s="251"/>
      <c r="V11" s="249"/>
      <c r="W11" s="250"/>
      <c r="X11" s="250"/>
      <c r="Y11" s="250"/>
      <c r="Z11" s="250"/>
      <c r="AA11" s="251"/>
      <c r="AB11" s="249"/>
      <c r="AC11" s="250"/>
      <c r="AD11" s="250"/>
      <c r="AE11" s="250"/>
      <c r="AF11" s="250"/>
      <c r="AG11" s="251"/>
      <c r="AH11" s="240"/>
      <c r="AI11" s="241"/>
      <c r="AJ11" s="241"/>
      <c r="AK11" s="241"/>
      <c r="AL11" s="241"/>
      <c r="AM11" s="242"/>
      <c r="AN11" s="75"/>
      <c r="AO11" s="274"/>
      <c r="AP11" s="275"/>
      <c r="AQ11" s="275"/>
      <c r="AR11" s="275"/>
      <c r="AS11" s="275"/>
      <c r="AT11" s="276"/>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69"/>
      <c r="C12" s="269"/>
      <c r="D12" s="270"/>
      <c r="E12" s="262"/>
      <c r="F12" s="263"/>
      <c r="G12" s="263"/>
      <c r="H12" s="263"/>
      <c r="I12" s="264"/>
      <c r="J12" s="249" t="e">
        <f>IF(AND('Mapa final'!#REF!="Muy Alta",'Mapa final'!#REF!="Leve"),CONCATENATE("R",'Mapa final'!#REF!),"")</f>
        <v>#REF!</v>
      </c>
      <c r="K12" s="250"/>
      <c r="L12" s="250" t="str">
        <f>IF(AND('Mapa final'!$L$14="Muy Alta",'Mapa final'!$P$14="Leve"),CONCATENATE("R",'Mapa final'!$A$14),"")</f>
        <v/>
      </c>
      <c r="M12" s="250"/>
      <c r="N12" s="250" t="str">
        <f>IF(AND('Mapa final'!$L$16="Muy Alta",'Mapa final'!$P$16="Leve"),CONCATENATE("R",'Mapa final'!$A$16),"")</f>
        <v/>
      </c>
      <c r="O12" s="251"/>
      <c r="P12" s="249" t="e">
        <f>IF(AND('Mapa final'!#REF!="Muy Alta",'Mapa final'!#REF!="Menor"),CONCATENATE("R",'Mapa final'!#REF!),"")</f>
        <v>#REF!</v>
      </c>
      <c r="Q12" s="250"/>
      <c r="R12" s="250" t="str">
        <f>IF(AND('Mapa final'!$L$14="Muy Alta",'Mapa final'!$P$14="Menor"),CONCATENATE("R",'Mapa final'!$A$14),"")</f>
        <v/>
      </c>
      <c r="S12" s="250"/>
      <c r="T12" s="250" t="str">
        <f>IF(AND('Mapa final'!$L$16="Muy Alta",'Mapa final'!$P$16="Menor"),CONCATENATE("R",'Mapa final'!$A$16),"")</f>
        <v/>
      </c>
      <c r="U12" s="251"/>
      <c r="V12" s="249" t="e">
        <f>IF(AND('Mapa final'!#REF!="Muy Alta",'Mapa final'!#REF!="Moderado"),CONCATENATE("R",'Mapa final'!#REF!),"")</f>
        <v>#REF!</v>
      </c>
      <c r="W12" s="250"/>
      <c r="X12" s="250" t="str">
        <f>IF(AND('Mapa final'!$L$14="Muy Alta",'Mapa final'!$P$14="Moderado"),CONCATENATE("R",'Mapa final'!$A$14),"")</f>
        <v/>
      </c>
      <c r="Y12" s="250"/>
      <c r="Z12" s="250" t="str">
        <f>IF(AND('Mapa final'!$L$16="Muy Alta",'Mapa final'!$P$16="Moderado"),CONCATENATE("R",'Mapa final'!$A$16),"")</f>
        <v/>
      </c>
      <c r="AA12" s="251"/>
      <c r="AB12" s="249" t="e">
        <f>IF(AND('Mapa final'!#REF!="Muy Alta",'Mapa final'!#REF!="Mayor"),CONCATENATE("R",'Mapa final'!#REF!),"")</f>
        <v>#REF!</v>
      </c>
      <c r="AC12" s="250"/>
      <c r="AD12" s="250" t="str">
        <f>IF(AND('Mapa final'!$L$14="Muy Alta",'Mapa final'!$P$14="Mayor"),CONCATENATE("R",'Mapa final'!$A$14),"")</f>
        <v/>
      </c>
      <c r="AE12" s="250"/>
      <c r="AF12" s="250" t="str">
        <f>IF(AND('Mapa final'!$L$16="Muy Alta",'Mapa final'!$P$16="Mayor"),CONCATENATE("R",'Mapa final'!$A$16),"")</f>
        <v/>
      </c>
      <c r="AG12" s="251"/>
      <c r="AH12" s="240" t="e">
        <f>IF(AND('Mapa final'!#REF!="Muy Alta",'Mapa final'!#REF!="Catastrófico"),CONCATENATE("R",'Mapa final'!#REF!),"")</f>
        <v>#REF!</v>
      </c>
      <c r="AI12" s="241"/>
      <c r="AJ12" s="241" t="str">
        <f>IF(AND('Mapa final'!$L$14="Muy Alta",'Mapa final'!$P$14="Catastrófico"),CONCATENATE("R",'Mapa final'!$A$14),"")</f>
        <v/>
      </c>
      <c r="AK12" s="241"/>
      <c r="AL12" s="241" t="str">
        <f>IF(AND('Mapa final'!$L$16="Muy Alta",'Mapa final'!$P$16="Catastrófico"),CONCATENATE("R",'Mapa final'!$A$16),"")</f>
        <v/>
      </c>
      <c r="AM12" s="242"/>
      <c r="AN12" s="75"/>
      <c r="AO12" s="274"/>
      <c r="AP12" s="275"/>
      <c r="AQ12" s="275"/>
      <c r="AR12" s="275"/>
      <c r="AS12" s="275"/>
      <c r="AT12" s="276"/>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69"/>
      <c r="C13" s="269"/>
      <c r="D13" s="270"/>
      <c r="E13" s="265"/>
      <c r="F13" s="266"/>
      <c r="G13" s="266"/>
      <c r="H13" s="266"/>
      <c r="I13" s="267"/>
      <c r="J13" s="249"/>
      <c r="K13" s="250"/>
      <c r="L13" s="250"/>
      <c r="M13" s="250"/>
      <c r="N13" s="250"/>
      <c r="O13" s="251"/>
      <c r="P13" s="249"/>
      <c r="Q13" s="250"/>
      <c r="R13" s="250"/>
      <c r="S13" s="250"/>
      <c r="T13" s="250"/>
      <c r="U13" s="251"/>
      <c r="V13" s="249"/>
      <c r="W13" s="250"/>
      <c r="X13" s="250"/>
      <c r="Y13" s="250"/>
      <c r="Z13" s="250"/>
      <c r="AA13" s="251"/>
      <c r="AB13" s="249"/>
      <c r="AC13" s="250"/>
      <c r="AD13" s="250"/>
      <c r="AE13" s="250"/>
      <c r="AF13" s="250"/>
      <c r="AG13" s="251"/>
      <c r="AH13" s="243"/>
      <c r="AI13" s="244"/>
      <c r="AJ13" s="244"/>
      <c r="AK13" s="244"/>
      <c r="AL13" s="244"/>
      <c r="AM13" s="245"/>
      <c r="AN13" s="75"/>
      <c r="AO13" s="277"/>
      <c r="AP13" s="278"/>
      <c r="AQ13" s="278"/>
      <c r="AR13" s="278"/>
      <c r="AS13" s="278"/>
      <c r="AT13" s="279"/>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69"/>
      <c r="C14" s="269"/>
      <c r="D14" s="270"/>
      <c r="E14" s="259" t="s">
        <v>114</v>
      </c>
      <c r="F14" s="260"/>
      <c r="G14" s="260"/>
      <c r="H14" s="260"/>
      <c r="I14" s="260"/>
      <c r="J14" s="237" t="e">
        <f>IF(AND('Mapa final'!#REF!="Alta",'Mapa final'!#REF!="Leve"),CONCATENATE("R",'Mapa final'!#REF!),"")</f>
        <v>#REF!</v>
      </c>
      <c r="K14" s="238"/>
      <c r="L14" s="238" t="str">
        <f>IF(AND('Mapa final'!$L$11="Alta",'Mapa final'!$P$11="Leve"),CONCATENATE("R",'Mapa final'!$A$11),"")</f>
        <v/>
      </c>
      <c r="M14" s="238"/>
      <c r="N14" s="238" t="e">
        <f>IF(AND('Mapa final'!#REF!="Alta",'Mapa final'!#REF!="Leve"),CONCATENATE("R",'Mapa final'!#REF!),"")</f>
        <v>#REF!</v>
      </c>
      <c r="O14" s="239"/>
      <c r="P14" s="237" t="e">
        <f>IF(AND('Mapa final'!#REF!="Alta",'Mapa final'!#REF!="Menor"),CONCATENATE("R",'Mapa final'!#REF!),"")</f>
        <v>#REF!</v>
      </c>
      <c r="Q14" s="238"/>
      <c r="R14" s="238" t="str">
        <f>IF(AND('Mapa final'!$L$11="Alta",'Mapa final'!$P$11="Menor"),CONCATENATE("R",'Mapa final'!$A$11),"")</f>
        <v/>
      </c>
      <c r="S14" s="238"/>
      <c r="T14" s="238" t="e">
        <f>IF(AND('Mapa final'!#REF!="Alta",'Mapa final'!#REF!="Menor"),CONCATENATE("R",'Mapa final'!#REF!),"")</f>
        <v>#REF!</v>
      </c>
      <c r="U14" s="239"/>
      <c r="V14" s="255" t="e">
        <f>IF(AND('Mapa final'!#REF!="Alta",'Mapa final'!#REF!="Moderado"),CONCATENATE("R",'Mapa final'!#REF!),"")</f>
        <v>#REF!</v>
      </c>
      <c r="W14" s="256"/>
      <c r="X14" s="256" t="str">
        <f>IF(AND('Mapa final'!$L$11="Alta",'Mapa final'!$P$11="Moderado"),CONCATENATE("R",'Mapa final'!$A$11),"")</f>
        <v/>
      </c>
      <c r="Y14" s="256"/>
      <c r="Z14" s="256" t="e">
        <f>IF(AND('Mapa final'!#REF!="Alta",'Mapa final'!#REF!="Moderado"),CONCATENATE("R",'Mapa final'!#REF!),"")</f>
        <v>#REF!</v>
      </c>
      <c r="AA14" s="257"/>
      <c r="AB14" s="255" t="e">
        <f>IF(AND('Mapa final'!#REF!="Alta",'Mapa final'!#REF!="Mayor"),CONCATENATE("R",'Mapa final'!#REF!),"")</f>
        <v>#REF!</v>
      </c>
      <c r="AC14" s="256"/>
      <c r="AD14" s="256" t="str">
        <f>IF(AND('Mapa final'!$L$11="Alta",'Mapa final'!$P$11="Mayor"),CONCATENATE("R",'Mapa final'!$A$11),"")</f>
        <v/>
      </c>
      <c r="AE14" s="256"/>
      <c r="AF14" s="256" t="e">
        <f>IF(AND('Mapa final'!#REF!="Alta",'Mapa final'!#REF!="Mayor"),CONCATENATE("R",'Mapa final'!#REF!),"")</f>
        <v>#REF!</v>
      </c>
      <c r="AG14" s="257"/>
      <c r="AH14" s="246" t="e">
        <f>IF(AND('Mapa final'!#REF!="Alta",'Mapa final'!#REF!="Catastrófico"),CONCATENATE("R",'Mapa final'!#REF!),"")</f>
        <v>#REF!</v>
      </c>
      <c r="AI14" s="247"/>
      <c r="AJ14" s="247" t="str">
        <f>IF(AND('Mapa final'!$L$11="Alta",'Mapa final'!$P$11="Catastrófico"),CONCATENATE("R",'Mapa final'!$A$11),"")</f>
        <v/>
      </c>
      <c r="AK14" s="247"/>
      <c r="AL14" s="247" t="e">
        <f>IF(AND('Mapa final'!#REF!="Alta",'Mapa final'!#REF!="Catastrófico"),CONCATENATE("R",'Mapa final'!#REF!),"")</f>
        <v>#REF!</v>
      </c>
      <c r="AM14" s="248"/>
      <c r="AN14" s="75"/>
      <c r="AO14" s="280" t="s">
        <v>79</v>
      </c>
      <c r="AP14" s="281"/>
      <c r="AQ14" s="281"/>
      <c r="AR14" s="281"/>
      <c r="AS14" s="281"/>
      <c r="AT14" s="282"/>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69"/>
      <c r="C15" s="269"/>
      <c r="D15" s="270"/>
      <c r="E15" s="262"/>
      <c r="F15" s="263"/>
      <c r="G15" s="263"/>
      <c r="H15" s="263"/>
      <c r="I15" s="263"/>
      <c r="J15" s="231"/>
      <c r="K15" s="232"/>
      <c r="L15" s="232"/>
      <c r="M15" s="232"/>
      <c r="N15" s="232"/>
      <c r="O15" s="233"/>
      <c r="P15" s="231"/>
      <c r="Q15" s="232"/>
      <c r="R15" s="232"/>
      <c r="S15" s="232"/>
      <c r="T15" s="232"/>
      <c r="U15" s="233"/>
      <c r="V15" s="249"/>
      <c r="W15" s="250"/>
      <c r="X15" s="250"/>
      <c r="Y15" s="250"/>
      <c r="Z15" s="250"/>
      <c r="AA15" s="251"/>
      <c r="AB15" s="249"/>
      <c r="AC15" s="250"/>
      <c r="AD15" s="250"/>
      <c r="AE15" s="250"/>
      <c r="AF15" s="250"/>
      <c r="AG15" s="251"/>
      <c r="AH15" s="240"/>
      <c r="AI15" s="241"/>
      <c r="AJ15" s="241"/>
      <c r="AK15" s="241"/>
      <c r="AL15" s="241"/>
      <c r="AM15" s="242"/>
      <c r="AN15" s="75"/>
      <c r="AO15" s="283"/>
      <c r="AP15" s="284"/>
      <c r="AQ15" s="284"/>
      <c r="AR15" s="284"/>
      <c r="AS15" s="284"/>
      <c r="AT15" s="28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69"/>
      <c r="C16" s="269"/>
      <c r="D16" s="270"/>
      <c r="E16" s="262"/>
      <c r="F16" s="263"/>
      <c r="G16" s="263"/>
      <c r="H16" s="263"/>
      <c r="I16" s="263"/>
      <c r="J16" s="231" t="e">
        <f>IF(AND('Mapa final'!#REF!="Alta",'Mapa final'!#REF!="Leve"),CONCATENATE("R",'Mapa final'!#REF!),"")</f>
        <v>#REF!</v>
      </c>
      <c r="K16" s="232"/>
      <c r="L16" s="232" t="e">
        <f>IF(AND('Mapa final'!#REF!="Alta",'Mapa final'!#REF!="Leve"),CONCATENATE("R",'Mapa final'!#REF!),"")</f>
        <v>#REF!</v>
      </c>
      <c r="M16" s="232"/>
      <c r="N16" s="232" t="e">
        <f>IF(AND('Mapa final'!#REF!="Alta",'Mapa final'!#REF!="Leve"),CONCATENATE("R",'Mapa final'!#REF!),"")</f>
        <v>#REF!</v>
      </c>
      <c r="O16" s="233"/>
      <c r="P16" s="231" t="e">
        <f>IF(AND('Mapa final'!#REF!="Alta",'Mapa final'!#REF!="Menor"),CONCATENATE("R",'Mapa final'!#REF!),"")</f>
        <v>#REF!</v>
      </c>
      <c r="Q16" s="232"/>
      <c r="R16" s="232" t="e">
        <f>IF(AND('Mapa final'!#REF!="Alta",'Mapa final'!#REF!="Menor"),CONCATENATE("R",'Mapa final'!#REF!),"")</f>
        <v>#REF!</v>
      </c>
      <c r="S16" s="232"/>
      <c r="T16" s="232" t="e">
        <f>IF(AND('Mapa final'!#REF!="Alta",'Mapa final'!#REF!="Menor"),CONCATENATE("R",'Mapa final'!#REF!),"")</f>
        <v>#REF!</v>
      </c>
      <c r="U16" s="233"/>
      <c r="V16" s="249" t="e">
        <f>IF(AND('Mapa final'!#REF!="Alta",'Mapa final'!#REF!="Moderado"),CONCATENATE("R",'Mapa final'!#REF!),"")</f>
        <v>#REF!</v>
      </c>
      <c r="W16" s="250"/>
      <c r="X16" s="250" t="e">
        <f>IF(AND('Mapa final'!#REF!="Alta",'Mapa final'!#REF!="Moderado"),CONCATENATE("R",'Mapa final'!#REF!),"")</f>
        <v>#REF!</v>
      </c>
      <c r="Y16" s="250"/>
      <c r="Z16" s="250" t="e">
        <f>IF(AND('Mapa final'!#REF!="Alta",'Mapa final'!#REF!="Moderado"),CONCATENATE("R",'Mapa final'!#REF!),"")</f>
        <v>#REF!</v>
      </c>
      <c r="AA16" s="251"/>
      <c r="AB16" s="249" t="e">
        <f>IF(AND('Mapa final'!#REF!="Alta",'Mapa final'!#REF!="Mayor"),CONCATENATE("R",'Mapa final'!#REF!),"")</f>
        <v>#REF!</v>
      </c>
      <c r="AC16" s="250"/>
      <c r="AD16" s="250" t="e">
        <f>IF(AND('Mapa final'!#REF!="Alta",'Mapa final'!#REF!="Mayor"),CONCATENATE("R",'Mapa final'!#REF!),"")</f>
        <v>#REF!</v>
      </c>
      <c r="AE16" s="250"/>
      <c r="AF16" s="250" t="e">
        <f>IF(AND('Mapa final'!#REF!="Alta",'Mapa final'!#REF!="Mayor"),CONCATENATE("R",'Mapa final'!#REF!),"")</f>
        <v>#REF!</v>
      </c>
      <c r="AG16" s="251"/>
      <c r="AH16" s="240" t="e">
        <f>IF(AND('Mapa final'!#REF!="Alta",'Mapa final'!#REF!="Catastrófico"),CONCATENATE("R",'Mapa final'!#REF!),"")</f>
        <v>#REF!</v>
      </c>
      <c r="AI16" s="241"/>
      <c r="AJ16" s="241" t="e">
        <f>IF(AND('Mapa final'!#REF!="Alta",'Mapa final'!#REF!="Catastrófico"),CONCATENATE("R",'Mapa final'!#REF!),"")</f>
        <v>#REF!</v>
      </c>
      <c r="AK16" s="241"/>
      <c r="AL16" s="241" t="e">
        <f>IF(AND('Mapa final'!#REF!="Alta",'Mapa final'!#REF!="Catastrófico"),CONCATENATE("R",'Mapa final'!#REF!),"")</f>
        <v>#REF!</v>
      </c>
      <c r="AM16" s="242"/>
      <c r="AN16" s="75"/>
      <c r="AO16" s="283"/>
      <c r="AP16" s="284"/>
      <c r="AQ16" s="284"/>
      <c r="AR16" s="284"/>
      <c r="AS16" s="284"/>
      <c r="AT16" s="28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69"/>
      <c r="C17" s="269"/>
      <c r="D17" s="270"/>
      <c r="E17" s="262"/>
      <c r="F17" s="263"/>
      <c r="G17" s="263"/>
      <c r="H17" s="263"/>
      <c r="I17" s="263"/>
      <c r="J17" s="231"/>
      <c r="K17" s="232"/>
      <c r="L17" s="232"/>
      <c r="M17" s="232"/>
      <c r="N17" s="232"/>
      <c r="O17" s="233"/>
      <c r="P17" s="231"/>
      <c r="Q17" s="232"/>
      <c r="R17" s="232"/>
      <c r="S17" s="232"/>
      <c r="T17" s="232"/>
      <c r="U17" s="233"/>
      <c r="V17" s="249"/>
      <c r="W17" s="250"/>
      <c r="X17" s="250"/>
      <c r="Y17" s="250"/>
      <c r="Z17" s="250"/>
      <c r="AA17" s="251"/>
      <c r="AB17" s="249"/>
      <c r="AC17" s="250"/>
      <c r="AD17" s="250"/>
      <c r="AE17" s="250"/>
      <c r="AF17" s="250"/>
      <c r="AG17" s="251"/>
      <c r="AH17" s="240"/>
      <c r="AI17" s="241"/>
      <c r="AJ17" s="241"/>
      <c r="AK17" s="241"/>
      <c r="AL17" s="241"/>
      <c r="AM17" s="242"/>
      <c r="AN17" s="75"/>
      <c r="AO17" s="283"/>
      <c r="AP17" s="284"/>
      <c r="AQ17" s="284"/>
      <c r="AR17" s="284"/>
      <c r="AS17" s="284"/>
      <c r="AT17" s="28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69"/>
      <c r="C18" s="269"/>
      <c r="D18" s="270"/>
      <c r="E18" s="262"/>
      <c r="F18" s="263"/>
      <c r="G18" s="263"/>
      <c r="H18" s="263"/>
      <c r="I18" s="263"/>
      <c r="J18" s="231" t="e">
        <f>IF(AND('Mapa final'!#REF!="Alta",'Mapa final'!#REF!="Leve"),CONCATENATE("R",'Mapa final'!#REF!),"")</f>
        <v>#REF!</v>
      </c>
      <c r="K18" s="232"/>
      <c r="L18" s="232" t="e">
        <f>IF(AND('Mapa final'!#REF!="Alta",'Mapa final'!#REF!="Leve"),CONCATENATE("R",'Mapa final'!#REF!),"")</f>
        <v>#REF!</v>
      </c>
      <c r="M18" s="232"/>
      <c r="N18" s="232" t="e">
        <f>IF(AND('Mapa final'!#REF!="Alta",'Mapa final'!#REF!="Leve"),CONCATENATE("R",'Mapa final'!#REF!),"")</f>
        <v>#REF!</v>
      </c>
      <c r="O18" s="233"/>
      <c r="P18" s="231" t="e">
        <f>IF(AND('Mapa final'!#REF!="Alta",'Mapa final'!#REF!="Menor"),CONCATENATE("R",'Mapa final'!#REF!),"")</f>
        <v>#REF!</v>
      </c>
      <c r="Q18" s="232"/>
      <c r="R18" s="232" t="e">
        <f>IF(AND('Mapa final'!#REF!="Alta",'Mapa final'!#REF!="Menor"),CONCATENATE("R",'Mapa final'!#REF!),"")</f>
        <v>#REF!</v>
      </c>
      <c r="S18" s="232"/>
      <c r="T18" s="232" t="e">
        <f>IF(AND('Mapa final'!#REF!="Alta",'Mapa final'!#REF!="Menor"),CONCATENATE("R",'Mapa final'!#REF!),"")</f>
        <v>#REF!</v>
      </c>
      <c r="U18" s="233"/>
      <c r="V18" s="249" t="e">
        <f>IF(AND('Mapa final'!#REF!="Alta",'Mapa final'!#REF!="Moderado"),CONCATENATE("R",'Mapa final'!#REF!),"")</f>
        <v>#REF!</v>
      </c>
      <c r="W18" s="250"/>
      <c r="X18" s="250" t="e">
        <f>IF(AND('Mapa final'!#REF!="Alta",'Mapa final'!#REF!="Moderado"),CONCATENATE("R",'Mapa final'!#REF!),"")</f>
        <v>#REF!</v>
      </c>
      <c r="Y18" s="250"/>
      <c r="Z18" s="250" t="e">
        <f>IF(AND('Mapa final'!#REF!="Alta",'Mapa final'!#REF!="Moderado"),CONCATENATE("R",'Mapa final'!#REF!),"")</f>
        <v>#REF!</v>
      </c>
      <c r="AA18" s="251"/>
      <c r="AB18" s="249" t="e">
        <f>IF(AND('Mapa final'!#REF!="Alta",'Mapa final'!#REF!="Mayor"),CONCATENATE("R",'Mapa final'!#REF!),"")</f>
        <v>#REF!</v>
      </c>
      <c r="AC18" s="250"/>
      <c r="AD18" s="250" t="e">
        <f>IF(AND('Mapa final'!#REF!="Alta",'Mapa final'!#REF!="Mayor"),CONCATENATE("R",'Mapa final'!#REF!),"")</f>
        <v>#REF!</v>
      </c>
      <c r="AE18" s="250"/>
      <c r="AF18" s="250" t="e">
        <f>IF(AND('Mapa final'!#REF!="Alta",'Mapa final'!#REF!="Mayor"),CONCATENATE("R",'Mapa final'!#REF!),"")</f>
        <v>#REF!</v>
      </c>
      <c r="AG18" s="251"/>
      <c r="AH18" s="240" t="e">
        <f>IF(AND('Mapa final'!#REF!="Alta",'Mapa final'!#REF!="Catastrófico"),CONCATENATE("R",'Mapa final'!#REF!),"")</f>
        <v>#REF!</v>
      </c>
      <c r="AI18" s="241"/>
      <c r="AJ18" s="241" t="e">
        <f>IF(AND('Mapa final'!#REF!="Alta",'Mapa final'!#REF!="Catastrófico"),CONCATENATE("R",'Mapa final'!#REF!),"")</f>
        <v>#REF!</v>
      </c>
      <c r="AK18" s="241"/>
      <c r="AL18" s="241" t="e">
        <f>IF(AND('Mapa final'!#REF!="Alta",'Mapa final'!#REF!="Catastrófico"),CONCATENATE("R",'Mapa final'!#REF!),"")</f>
        <v>#REF!</v>
      </c>
      <c r="AM18" s="242"/>
      <c r="AN18" s="75"/>
      <c r="AO18" s="283"/>
      <c r="AP18" s="284"/>
      <c r="AQ18" s="284"/>
      <c r="AR18" s="284"/>
      <c r="AS18" s="284"/>
      <c r="AT18" s="28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69"/>
      <c r="C19" s="269"/>
      <c r="D19" s="270"/>
      <c r="E19" s="262"/>
      <c r="F19" s="263"/>
      <c r="G19" s="263"/>
      <c r="H19" s="263"/>
      <c r="I19" s="263"/>
      <c r="J19" s="231"/>
      <c r="K19" s="232"/>
      <c r="L19" s="232"/>
      <c r="M19" s="232"/>
      <c r="N19" s="232"/>
      <c r="O19" s="233"/>
      <c r="P19" s="231"/>
      <c r="Q19" s="232"/>
      <c r="R19" s="232"/>
      <c r="S19" s="232"/>
      <c r="T19" s="232"/>
      <c r="U19" s="233"/>
      <c r="V19" s="249"/>
      <c r="W19" s="250"/>
      <c r="X19" s="250"/>
      <c r="Y19" s="250"/>
      <c r="Z19" s="250"/>
      <c r="AA19" s="251"/>
      <c r="AB19" s="249"/>
      <c r="AC19" s="250"/>
      <c r="AD19" s="250"/>
      <c r="AE19" s="250"/>
      <c r="AF19" s="250"/>
      <c r="AG19" s="251"/>
      <c r="AH19" s="240"/>
      <c r="AI19" s="241"/>
      <c r="AJ19" s="241"/>
      <c r="AK19" s="241"/>
      <c r="AL19" s="241"/>
      <c r="AM19" s="242"/>
      <c r="AN19" s="75"/>
      <c r="AO19" s="283"/>
      <c r="AP19" s="284"/>
      <c r="AQ19" s="284"/>
      <c r="AR19" s="284"/>
      <c r="AS19" s="284"/>
      <c r="AT19" s="28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69"/>
      <c r="C20" s="269"/>
      <c r="D20" s="270"/>
      <c r="E20" s="262"/>
      <c r="F20" s="263"/>
      <c r="G20" s="263"/>
      <c r="H20" s="263"/>
      <c r="I20" s="263"/>
      <c r="J20" s="231" t="e">
        <f>IF(AND('Mapa final'!#REF!="Alta",'Mapa final'!#REF!="Leve"),CONCATENATE("R",'Mapa final'!#REF!),"")</f>
        <v>#REF!</v>
      </c>
      <c r="K20" s="232"/>
      <c r="L20" s="232" t="str">
        <f>IF(AND('Mapa final'!$L$14="Alta",'Mapa final'!$P$14="Leve"),CONCATENATE("R",'Mapa final'!$A$14),"")</f>
        <v/>
      </c>
      <c r="M20" s="232"/>
      <c r="N20" s="232" t="str">
        <f>IF(AND('Mapa final'!$L$16="Alta",'Mapa final'!$P$16="Leve"),CONCATENATE("R",'Mapa final'!$A$16),"")</f>
        <v/>
      </c>
      <c r="O20" s="233"/>
      <c r="P20" s="231" t="e">
        <f>IF(AND('Mapa final'!#REF!="Alta",'Mapa final'!#REF!="Menor"),CONCATENATE("R",'Mapa final'!#REF!),"")</f>
        <v>#REF!</v>
      </c>
      <c r="Q20" s="232"/>
      <c r="R20" s="232" t="str">
        <f>IF(AND('Mapa final'!$L$14="Alta",'Mapa final'!$P$14="Menor"),CONCATENATE("R",'Mapa final'!$A$14),"")</f>
        <v/>
      </c>
      <c r="S20" s="232"/>
      <c r="T20" s="232" t="str">
        <f>IF(AND('Mapa final'!$L$16="Alta",'Mapa final'!$P$16="Menor"),CONCATENATE("R",'Mapa final'!$A$16),"")</f>
        <v/>
      </c>
      <c r="U20" s="233"/>
      <c r="V20" s="249" t="e">
        <f>IF(AND('Mapa final'!#REF!="Alta",'Mapa final'!#REF!="Moderado"),CONCATENATE("R",'Mapa final'!#REF!),"")</f>
        <v>#REF!</v>
      </c>
      <c r="W20" s="250"/>
      <c r="X20" s="250" t="str">
        <f>IF(AND('Mapa final'!$L$14="Alta",'Mapa final'!$P$14="Moderado"),CONCATENATE("R",'Mapa final'!$A$14),"")</f>
        <v/>
      </c>
      <c r="Y20" s="250"/>
      <c r="Z20" s="250" t="str">
        <f>IF(AND('Mapa final'!$L$16="Alta",'Mapa final'!$P$16="Moderado"),CONCATENATE("R",'Mapa final'!$A$16),"")</f>
        <v/>
      </c>
      <c r="AA20" s="251"/>
      <c r="AB20" s="249" t="e">
        <f>IF(AND('Mapa final'!#REF!="Alta",'Mapa final'!#REF!="Mayor"),CONCATENATE("R",'Mapa final'!#REF!),"")</f>
        <v>#REF!</v>
      </c>
      <c r="AC20" s="250"/>
      <c r="AD20" s="250" t="str">
        <f>IF(AND('Mapa final'!$L$14="Alta",'Mapa final'!$P$14="Mayor"),CONCATENATE("R",'Mapa final'!$A$14),"")</f>
        <v/>
      </c>
      <c r="AE20" s="250"/>
      <c r="AF20" s="250" t="str">
        <f>IF(AND('Mapa final'!$L$16="Alta",'Mapa final'!$P$16="Mayor"),CONCATENATE("R",'Mapa final'!$A$16),"")</f>
        <v/>
      </c>
      <c r="AG20" s="251"/>
      <c r="AH20" s="240" t="e">
        <f>IF(AND('Mapa final'!#REF!="Alta",'Mapa final'!#REF!="Catastrófico"),CONCATENATE("R",'Mapa final'!#REF!),"")</f>
        <v>#REF!</v>
      </c>
      <c r="AI20" s="241"/>
      <c r="AJ20" s="241" t="str">
        <f>IF(AND('Mapa final'!$L$14="Alta",'Mapa final'!$P$14="Catastrófico"),CONCATENATE("R",'Mapa final'!$A$14),"")</f>
        <v/>
      </c>
      <c r="AK20" s="241"/>
      <c r="AL20" s="241" t="str">
        <f>IF(AND('Mapa final'!$L$16="Alta",'Mapa final'!$P$16="Catastrófico"),CONCATENATE("R",'Mapa final'!$A$16),"")</f>
        <v/>
      </c>
      <c r="AM20" s="242"/>
      <c r="AN20" s="75"/>
      <c r="AO20" s="283"/>
      <c r="AP20" s="284"/>
      <c r="AQ20" s="284"/>
      <c r="AR20" s="284"/>
      <c r="AS20" s="284"/>
      <c r="AT20" s="28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69"/>
      <c r="C21" s="269"/>
      <c r="D21" s="270"/>
      <c r="E21" s="265"/>
      <c r="F21" s="266"/>
      <c r="G21" s="266"/>
      <c r="H21" s="266"/>
      <c r="I21" s="266"/>
      <c r="J21" s="234"/>
      <c r="K21" s="235"/>
      <c r="L21" s="235"/>
      <c r="M21" s="235"/>
      <c r="N21" s="235"/>
      <c r="O21" s="236"/>
      <c r="P21" s="234"/>
      <c r="Q21" s="235"/>
      <c r="R21" s="235"/>
      <c r="S21" s="235"/>
      <c r="T21" s="235"/>
      <c r="U21" s="236"/>
      <c r="V21" s="252"/>
      <c r="W21" s="253"/>
      <c r="X21" s="253"/>
      <c r="Y21" s="253"/>
      <c r="Z21" s="253"/>
      <c r="AA21" s="254"/>
      <c r="AB21" s="252"/>
      <c r="AC21" s="253"/>
      <c r="AD21" s="253"/>
      <c r="AE21" s="253"/>
      <c r="AF21" s="253"/>
      <c r="AG21" s="254"/>
      <c r="AH21" s="243"/>
      <c r="AI21" s="244"/>
      <c r="AJ21" s="244"/>
      <c r="AK21" s="244"/>
      <c r="AL21" s="244"/>
      <c r="AM21" s="245"/>
      <c r="AN21" s="75"/>
      <c r="AO21" s="286"/>
      <c r="AP21" s="287"/>
      <c r="AQ21" s="287"/>
      <c r="AR21" s="287"/>
      <c r="AS21" s="287"/>
      <c r="AT21" s="288"/>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69"/>
      <c r="C22" s="269"/>
      <c r="D22" s="270"/>
      <c r="E22" s="259" t="s">
        <v>116</v>
      </c>
      <c r="F22" s="260"/>
      <c r="G22" s="260"/>
      <c r="H22" s="260"/>
      <c r="I22" s="261"/>
      <c r="J22" s="237" t="e">
        <f>IF(AND('Mapa final'!#REF!="Media",'Mapa final'!#REF!="Leve"),CONCATENATE("R",'Mapa final'!#REF!),"")</f>
        <v>#REF!</v>
      </c>
      <c r="K22" s="238"/>
      <c r="L22" s="238" t="str">
        <f>IF(AND('Mapa final'!$L$11="Media",'Mapa final'!$P$11="Leve"),CONCATENATE("R",'Mapa final'!$A$11),"")</f>
        <v/>
      </c>
      <c r="M22" s="238"/>
      <c r="N22" s="238" t="e">
        <f>IF(AND('Mapa final'!#REF!="Media",'Mapa final'!#REF!="Leve"),CONCATENATE("R",'Mapa final'!#REF!),"")</f>
        <v>#REF!</v>
      </c>
      <c r="O22" s="239"/>
      <c r="P22" s="237" t="e">
        <f>IF(AND('Mapa final'!#REF!="Media",'Mapa final'!#REF!="Menor"),CONCATENATE("R",'Mapa final'!#REF!),"")</f>
        <v>#REF!</v>
      </c>
      <c r="Q22" s="238"/>
      <c r="R22" s="238" t="str">
        <f>IF(AND('Mapa final'!$L$11="Media",'Mapa final'!$P$11="Menor"),CONCATENATE("R",'Mapa final'!$A$11),"")</f>
        <v/>
      </c>
      <c r="S22" s="238"/>
      <c r="T22" s="238" t="e">
        <f>IF(AND('Mapa final'!#REF!="Media",'Mapa final'!#REF!="Menor"),CONCATENATE("R",'Mapa final'!#REF!),"")</f>
        <v>#REF!</v>
      </c>
      <c r="U22" s="239"/>
      <c r="V22" s="237" t="e">
        <f>IF(AND('Mapa final'!#REF!="Media",'Mapa final'!#REF!="Moderado"),CONCATENATE("R",'Mapa final'!#REF!),"")</f>
        <v>#REF!</v>
      </c>
      <c r="W22" s="238"/>
      <c r="X22" s="238" t="str">
        <f>IF(AND('Mapa final'!$L$11="Media",'Mapa final'!$P$11="Moderado"),CONCATENATE("R",'Mapa final'!$A$11),"")</f>
        <v/>
      </c>
      <c r="Y22" s="238"/>
      <c r="Z22" s="238" t="e">
        <f>IF(AND('Mapa final'!#REF!="Media",'Mapa final'!#REF!="Moderado"),CONCATENATE("R",'Mapa final'!#REF!),"")</f>
        <v>#REF!</v>
      </c>
      <c r="AA22" s="239"/>
      <c r="AB22" s="255" t="e">
        <f>IF(AND('Mapa final'!#REF!="Media",'Mapa final'!#REF!="Mayor"),CONCATENATE("R",'Mapa final'!#REF!),"")</f>
        <v>#REF!</v>
      </c>
      <c r="AC22" s="256"/>
      <c r="AD22" s="256" t="str">
        <f>IF(AND('Mapa final'!$L$11="Media",'Mapa final'!$P$11="Mayor"),CONCATENATE("R",'Mapa final'!$A$11),"")</f>
        <v/>
      </c>
      <c r="AE22" s="256"/>
      <c r="AF22" s="256" t="e">
        <f>IF(AND('Mapa final'!#REF!="Media",'Mapa final'!#REF!="Mayor"),CONCATENATE("R",'Mapa final'!#REF!),"")</f>
        <v>#REF!</v>
      </c>
      <c r="AG22" s="257"/>
      <c r="AH22" s="246" t="e">
        <f>IF(AND('Mapa final'!#REF!="Media",'Mapa final'!#REF!="Catastrófico"),CONCATENATE("R",'Mapa final'!#REF!),"")</f>
        <v>#REF!</v>
      </c>
      <c r="AI22" s="247"/>
      <c r="AJ22" s="247" t="str">
        <f>IF(AND('Mapa final'!$L$11="Media",'Mapa final'!$P$11="Catastrófico"),CONCATENATE("R",'Mapa final'!$A$11),"")</f>
        <v/>
      </c>
      <c r="AK22" s="247"/>
      <c r="AL22" s="247" t="e">
        <f>IF(AND('Mapa final'!#REF!="Media",'Mapa final'!#REF!="Catastrófico"),CONCATENATE("R",'Mapa final'!#REF!),"")</f>
        <v>#REF!</v>
      </c>
      <c r="AM22" s="248"/>
      <c r="AN22" s="75"/>
      <c r="AO22" s="289" t="s">
        <v>80</v>
      </c>
      <c r="AP22" s="290"/>
      <c r="AQ22" s="290"/>
      <c r="AR22" s="290"/>
      <c r="AS22" s="290"/>
      <c r="AT22" s="291"/>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69"/>
      <c r="C23" s="269"/>
      <c r="D23" s="270"/>
      <c r="E23" s="262"/>
      <c r="F23" s="263"/>
      <c r="G23" s="263"/>
      <c r="H23" s="263"/>
      <c r="I23" s="264"/>
      <c r="J23" s="231"/>
      <c r="K23" s="232"/>
      <c r="L23" s="232"/>
      <c r="M23" s="232"/>
      <c r="N23" s="232"/>
      <c r="O23" s="233"/>
      <c r="P23" s="231"/>
      <c r="Q23" s="232"/>
      <c r="R23" s="232"/>
      <c r="S23" s="232"/>
      <c r="T23" s="232"/>
      <c r="U23" s="233"/>
      <c r="V23" s="231"/>
      <c r="W23" s="232"/>
      <c r="X23" s="232"/>
      <c r="Y23" s="232"/>
      <c r="Z23" s="232"/>
      <c r="AA23" s="233"/>
      <c r="AB23" s="249"/>
      <c r="AC23" s="250"/>
      <c r="AD23" s="250"/>
      <c r="AE23" s="250"/>
      <c r="AF23" s="250"/>
      <c r="AG23" s="251"/>
      <c r="AH23" s="240"/>
      <c r="AI23" s="241"/>
      <c r="AJ23" s="241"/>
      <c r="AK23" s="241"/>
      <c r="AL23" s="241"/>
      <c r="AM23" s="242"/>
      <c r="AN23" s="75"/>
      <c r="AO23" s="292"/>
      <c r="AP23" s="293"/>
      <c r="AQ23" s="293"/>
      <c r="AR23" s="293"/>
      <c r="AS23" s="293"/>
      <c r="AT23" s="294"/>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69"/>
      <c r="C24" s="269"/>
      <c r="D24" s="270"/>
      <c r="E24" s="262"/>
      <c r="F24" s="263"/>
      <c r="G24" s="263"/>
      <c r="H24" s="263"/>
      <c r="I24" s="264"/>
      <c r="J24" s="231" t="e">
        <f>IF(AND('Mapa final'!#REF!="Media",'Mapa final'!#REF!="Leve"),CONCATENATE("R",'Mapa final'!#REF!),"")</f>
        <v>#REF!</v>
      </c>
      <c r="K24" s="232"/>
      <c r="L24" s="232" t="e">
        <f>IF(AND('Mapa final'!#REF!="Media",'Mapa final'!#REF!="Leve"),CONCATENATE("R",'Mapa final'!#REF!),"")</f>
        <v>#REF!</v>
      </c>
      <c r="M24" s="232"/>
      <c r="N24" s="232" t="e">
        <f>IF(AND('Mapa final'!#REF!="Media",'Mapa final'!#REF!="Leve"),CONCATENATE("R",'Mapa final'!#REF!),"")</f>
        <v>#REF!</v>
      </c>
      <c r="O24" s="233"/>
      <c r="P24" s="231" t="e">
        <f>IF(AND('Mapa final'!#REF!="Media",'Mapa final'!#REF!="Menor"),CONCATENATE("R",'Mapa final'!#REF!),"")</f>
        <v>#REF!</v>
      </c>
      <c r="Q24" s="232"/>
      <c r="R24" s="232" t="e">
        <f>IF(AND('Mapa final'!#REF!="Media",'Mapa final'!#REF!="Menor"),CONCATENATE("R",'Mapa final'!#REF!),"")</f>
        <v>#REF!</v>
      </c>
      <c r="S24" s="232"/>
      <c r="T24" s="232" t="e">
        <f>IF(AND('Mapa final'!#REF!="Media",'Mapa final'!#REF!="Menor"),CONCATENATE("R",'Mapa final'!#REF!),"")</f>
        <v>#REF!</v>
      </c>
      <c r="U24" s="233"/>
      <c r="V24" s="231" t="e">
        <f>IF(AND('Mapa final'!#REF!="Media",'Mapa final'!#REF!="Moderado"),CONCATENATE("R",'Mapa final'!#REF!),"")</f>
        <v>#REF!</v>
      </c>
      <c r="W24" s="232"/>
      <c r="X24" s="232" t="e">
        <f>IF(AND('Mapa final'!#REF!="Media",'Mapa final'!#REF!="Moderado"),CONCATENATE("R",'Mapa final'!#REF!),"")</f>
        <v>#REF!</v>
      </c>
      <c r="Y24" s="232"/>
      <c r="Z24" s="232" t="e">
        <f>IF(AND('Mapa final'!#REF!="Media",'Mapa final'!#REF!="Moderado"),CONCATENATE("R",'Mapa final'!#REF!),"")</f>
        <v>#REF!</v>
      </c>
      <c r="AA24" s="233"/>
      <c r="AB24" s="249" t="e">
        <f>IF(AND('Mapa final'!#REF!="Media",'Mapa final'!#REF!="Mayor"),CONCATENATE("R",'Mapa final'!#REF!),"")</f>
        <v>#REF!</v>
      </c>
      <c r="AC24" s="250"/>
      <c r="AD24" s="250" t="e">
        <f>IF(AND('Mapa final'!#REF!="Media",'Mapa final'!#REF!="Mayor"),CONCATENATE("R",'Mapa final'!#REF!),"")</f>
        <v>#REF!</v>
      </c>
      <c r="AE24" s="250"/>
      <c r="AF24" s="250" t="e">
        <f>IF(AND('Mapa final'!#REF!="Media",'Mapa final'!#REF!="Mayor"),CONCATENATE("R",'Mapa final'!#REF!),"")</f>
        <v>#REF!</v>
      </c>
      <c r="AG24" s="251"/>
      <c r="AH24" s="240" t="e">
        <f>IF(AND('Mapa final'!#REF!="Media",'Mapa final'!#REF!="Catastrófico"),CONCATENATE("R",'Mapa final'!#REF!),"")</f>
        <v>#REF!</v>
      </c>
      <c r="AI24" s="241"/>
      <c r="AJ24" s="241" t="e">
        <f>IF(AND('Mapa final'!#REF!="Media",'Mapa final'!#REF!="Catastrófico"),CONCATENATE("R",'Mapa final'!#REF!),"")</f>
        <v>#REF!</v>
      </c>
      <c r="AK24" s="241"/>
      <c r="AL24" s="241" t="e">
        <f>IF(AND('Mapa final'!#REF!="Media",'Mapa final'!#REF!="Catastrófico"),CONCATENATE("R",'Mapa final'!#REF!),"")</f>
        <v>#REF!</v>
      </c>
      <c r="AM24" s="242"/>
      <c r="AN24" s="75"/>
      <c r="AO24" s="292"/>
      <c r="AP24" s="293"/>
      <c r="AQ24" s="293"/>
      <c r="AR24" s="293"/>
      <c r="AS24" s="293"/>
      <c r="AT24" s="294"/>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69"/>
      <c r="C25" s="269"/>
      <c r="D25" s="270"/>
      <c r="E25" s="262"/>
      <c r="F25" s="263"/>
      <c r="G25" s="263"/>
      <c r="H25" s="263"/>
      <c r="I25" s="264"/>
      <c r="J25" s="231"/>
      <c r="K25" s="232"/>
      <c r="L25" s="232"/>
      <c r="M25" s="232"/>
      <c r="N25" s="232"/>
      <c r="O25" s="233"/>
      <c r="P25" s="231"/>
      <c r="Q25" s="232"/>
      <c r="R25" s="232"/>
      <c r="S25" s="232"/>
      <c r="T25" s="232"/>
      <c r="U25" s="233"/>
      <c r="V25" s="231"/>
      <c r="W25" s="232"/>
      <c r="X25" s="232"/>
      <c r="Y25" s="232"/>
      <c r="Z25" s="232"/>
      <c r="AA25" s="233"/>
      <c r="AB25" s="249"/>
      <c r="AC25" s="250"/>
      <c r="AD25" s="250"/>
      <c r="AE25" s="250"/>
      <c r="AF25" s="250"/>
      <c r="AG25" s="251"/>
      <c r="AH25" s="240"/>
      <c r="AI25" s="241"/>
      <c r="AJ25" s="241"/>
      <c r="AK25" s="241"/>
      <c r="AL25" s="241"/>
      <c r="AM25" s="242"/>
      <c r="AN25" s="75"/>
      <c r="AO25" s="292"/>
      <c r="AP25" s="293"/>
      <c r="AQ25" s="293"/>
      <c r="AR25" s="293"/>
      <c r="AS25" s="293"/>
      <c r="AT25" s="294"/>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69"/>
      <c r="C26" s="269"/>
      <c r="D26" s="270"/>
      <c r="E26" s="262"/>
      <c r="F26" s="263"/>
      <c r="G26" s="263"/>
      <c r="H26" s="263"/>
      <c r="I26" s="264"/>
      <c r="J26" s="231" t="e">
        <f>IF(AND('Mapa final'!#REF!="Media",'Mapa final'!#REF!="Leve"),CONCATENATE("R",'Mapa final'!#REF!),"")</f>
        <v>#REF!</v>
      </c>
      <c r="K26" s="232"/>
      <c r="L26" s="232" t="e">
        <f>IF(AND('Mapa final'!#REF!="Media",'Mapa final'!#REF!="Leve"),CONCATENATE("R",'Mapa final'!#REF!),"")</f>
        <v>#REF!</v>
      </c>
      <c r="M26" s="232"/>
      <c r="N26" s="232" t="e">
        <f>IF(AND('Mapa final'!#REF!="Media",'Mapa final'!#REF!="Leve"),CONCATENATE("R",'Mapa final'!#REF!),"")</f>
        <v>#REF!</v>
      </c>
      <c r="O26" s="233"/>
      <c r="P26" s="231" t="e">
        <f>IF(AND('Mapa final'!#REF!="Media",'Mapa final'!#REF!="Menor"),CONCATENATE("R",'Mapa final'!#REF!),"")</f>
        <v>#REF!</v>
      </c>
      <c r="Q26" s="232"/>
      <c r="R26" s="232" t="e">
        <f>IF(AND('Mapa final'!#REF!="Media",'Mapa final'!#REF!="Menor"),CONCATENATE("R",'Mapa final'!#REF!),"")</f>
        <v>#REF!</v>
      </c>
      <c r="S26" s="232"/>
      <c r="T26" s="232" t="e">
        <f>IF(AND('Mapa final'!#REF!="Media",'Mapa final'!#REF!="Menor"),CONCATENATE("R",'Mapa final'!#REF!),"")</f>
        <v>#REF!</v>
      </c>
      <c r="U26" s="233"/>
      <c r="V26" s="231" t="e">
        <f>IF(AND('Mapa final'!#REF!="Media",'Mapa final'!#REF!="Moderado"),CONCATENATE("R",'Mapa final'!#REF!),"")</f>
        <v>#REF!</v>
      </c>
      <c r="W26" s="232"/>
      <c r="X26" s="232" t="e">
        <f>IF(AND('Mapa final'!#REF!="Media",'Mapa final'!#REF!="Moderado"),CONCATENATE("R",'Mapa final'!#REF!),"")</f>
        <v>#REF!</v>
      </c>
      <c r="Y26" s="232"/>
      <c r="Z26" s="232" t="e">
        <f>IF(AND('Mapa final'!#REF!="Media",'Mapa final'!#REF!="Moderado"),CONCATENATE("R",'Mapa final'!#REF!),"")</f>
        <v>#REF!</v>
      </c>
      <c r="AA26" s="233"/>
      <c r="AB26" s="249" t="e">
        <f>IF(AND('Mapa final'!#REF!="Media",'Mapa final'!#REF!="Mayor"),CONCATENATE("R",'Mapa final'!#REF!),"")</f>
        <v>#REF!</v>
      </c>
      <c r="AC26" s="250"/>
      <c r="AD26" s="250" t="e">
        <f>IF(AND('Mapa final'!#REF!="Media",'Mapa final'!#REF!="Mayor"),CONCATENATE("R",'Mapa final'!#REF!),"")</f>
        <v>#REF!</v>
      </c>
      <c r="AE26" s="250"/>
      <c r="AF26" s="250" t="e">
        <f>IF(AND('Mapa final'!#REF!="Media",'Mapa final'!#REF!="Mayor"),CONCATENATE("R",'Mapa final'!#REF!),"")</f>
        <v>#REF!</v>
      </c>
      <c r="AG26" s="251"/>
      <c r="AH26" s="240" t="e">
        <f>IF(AND('Mapa final'!#REF!="Media",'Mapa final'!#REF!="Catastrófico"),CONCATENATE("R",'Mapa final'!#REF!),"")</f>
        <v>#REF!</v>
      </c>
      <c r="AI26" s="241"/>
      <c r="AJ26" s="241" t="e">
        <f>IF(AND('Mapa final'!#REF!="Media",'Mapa final'!#REF!="Catastrófico"),CONCATENATE("R",'Mapa final'!#REF!),"")</f>
        <v>#REF!</v>
      </c>
      <c r="AK26" s="241"/>
      <c r="AL26" s="241" t="e">
        <f>IF(AND('Mapa final'!#REF!="Media",'Mapa final'!#REF!="Catastrófico"),CONCATENATE("R",'Mapa final'!#REF!),"")</f>
        <v>#REF!</v>
      </c>
      <c r="AM26" s="242"/>
      <c r="AN26" s="75"/>
      <c r="AO26" s="292"/>
      <c r="AP26" s="293"/>
      <c r="AQ26" s="293"/>
      <c r="AR26" s="293"/>
      <c r="AS26" s="293"/>
      <c r="AT26" s="294"/>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69"/>
      <c r="C27" s="269"/>
      <c r="D27" s="270"/>
      <c r="E27" s="262"/>
      <c r="F27" s="263"/>
      <c r="G27" s="263"/>
      <c r="H27" s="263"/>
      <c r="I27" s="264"/>
      <c r="J27" s="231"/>
      <c r="K27" s="232"/>
      <c r="L27" s="232"/>
      <c r="M27" s="232"/>
      <c r="N27" s="232"/>
      <c r="O27" s="233"/>
      <c r="P27" s="231"/>
      <c r="Q27" s="232"/>
      <c r="R27" s="232"/>
      <c r="S27" s="232"/>
      <c r="T27" s="232"/>
      <c r="U27" s="233"/>
      <c r="V27" s="231"/>
      <c r="W27" s="232"/>
      <c r="X27" s="232"/>
      <c r="Y27" s="232"/>
      <c r="Z27" s="232"/>
      <c r="AA27" s="233"/>
      <c r="AB27" s="249"/>
      <c r="AC27" s="250"/>
      <c r="AD27" s="250"/>
      <c r="AE27" s="250"/>
      <c r="AF27" s="250"/>
      <c r="AG27" s="251"/>
      <c r="AH27" s="240"/>
      <c r="AI27" s="241"/>
      <c r="AJ27" s="241"/>
      <c r="AK27" s="241"/>
      <c r="AL27" s="241"/>
      <c r="AM27" s="242"/>
      <c r="AN27" s="75"/>
      <c r="AO27" s="292"/>
      <c r="AP27" s="293"/>
      <c r="AQ27" s="293"/>
      <c r="AR27" s="293"/>
      <c r="AS27" s="293"/>
      <c r="AT27" s="294"/>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69"/>
      <c r="C28" s="269"/>
      <c r="D28" s="270"/>
      <c r="E28" s="262"/>
      <c r="F28" s="263"/>
      <c r="G28" s="263"/>
      <c r="H28" s="263"/>
      <c r="I28" s="264"/>
      <c r="J28" s="231" t="e">
        <f>IF(AND('Mapa final'!#REF!="Media",'Mapa final'!#REF!="Leve"),CONCATENATE("R",'Mapa final'!#REF!),"")</f>
        <v>#REF!</v>
      </c>
      <c r="K28" s="232"/>
      <c r="L28" s="232" t="str">
        <f>IF(AND('Mapa final'!$L$14="Media",'Mapa final'!$P$14="Leve"),CONCATENATE("R",'Mapa final'!$A$14),"")</f>
        <v/>
      </c>
      <c r="M28" s="232"/>
      <c r="N28" s="232" t="str">
        <f>IF(AND('Mapa final'!$L$16="Media",'Mapa final'!$P$16="Leve"),CONCATENATE("R",'Mapa final'!$A$16),"")</f>
        <v/>
      </c>
      <c r="O28" s="233"/>
      <c r="P28" s="231" t="e">
        <f>IF(AND('Mapa final'!#REF!="Media",'Mapa final'!#REF!="Menor"),CONCATENATE("R",'Mapa final'!#REF!),"")</f>
        <v>#REF!</v>
      </c>
      <c r="Q28" s="232"/>
      <c r="R28" s="232" t="str">
        <f>IF(AND('Mapa final'!$L$14="Media",'Mapa final'!$P$14="Menor"),CONCATENATE("R",'Mapa final'!$A$14),"")</f>
        <v/>
      </c>
      <c r="S28" s="232"/>
      <c r="T28" s="232" t="str">
        <f>IF(AND('Mapa final'!$L$16="Media",'Mapa final'!$P$16="Menor"),CONCATENATE("R",'Mapa final'!$A$16),"")</f>
        <v/>
      </c>
      <c r="U28" s="233"/>
      <c r="V28" s="231" t="e">
        <f>IF(AND('Mapa final'!#REF!="Media",'Mapa final'!#REF!="Moderado"),CONCATENATE("R",'Mapa final'!#REF!),"")</f>
        <v>#REF!</v>
      </c>
      <c r="W28" s="232"/>
      <c r="X28" s="232" t="str">
        <f>IF(AND('Mapa final'!$L$14="Media",'Mapa final'!$P$14="Moderado"),CONCATENATE("R",'Mapa final'!$A$14),"")</f>
        <v/>
      </c>
      <c r="Y28" s="232"/>
      <c r="Z28" s="232" t="str">
        <f>IF(AND('Mapa final'!$L$16="Media",'Mapa final'!$P$16="Moderado"),CONCATENATE("R",'Mapa final'!$A$16),"")</f>
        <v/>
      </c>
      <c r="AA28" s="233"/>
      <c r="AB28" s="249" t="e">
        <f>IF(AND('Mapa final'!#REF!="Media",'Mapa final'!#REF!="Mayor"),CONCATENATE("R",'Mapa final'!#REF!),"")</f>
        <v>#REF!</v>
      </c>
      <c r="AC28" s="250"/>
      <c r="AD28" s="250" t="str">
        <f>IF(AND('Mapa final'!$L$14="Media",'Mapa final'!$P$14="Mayor"),CONCATENATE("R",'Mapa final'!$A$14),"")</f>
        <v/>
      </c>
      <c r="AE28" s="250"/>
      <c r="AF28" s="250" t="str">
        <f>IF(AND('Mapa final'!$L$16="Media",'Mapa final'!$P$16="Mayor"),CONCATENATE("R",'Mapa final'!$A$16),"")</f>
        <v/>
      </c>
      <c r="AG28" s="251"/>
      <c r="AH28" s="240" t="e">
        <f>IF(AND('Mapa final'!#REF!="Media",'Mapa final'!#REF!="Catastrófico"),CONCATENATE("R",'Mapa final'!#REF!),"")</f>
        <v>#REF!</v>
      </c>
      <c r="AI28" s="241"/>
      <c r="AJ28" s="241" t="str">
        <f>IF(AND('Mapa final'!$L$14="Media",'Mapa final'!$P$14="Catastrófico"),CONCATENATE("R",'Mapa final'!$A$14),"")</f>
        <v/>
      </c>
      <c r="AK28" s="241"/>
      <c r="AL28" s="241" t="str">
        <f>IF(AND('Mapa final'!$L$16="Media",'Mapa final'!$P$16="Catastrófico"),CONCATENATE("R",'Mapa final'!$A$16),"")</f>
        <v/>
      </c>
      <c r="AM28" s="242"/>
      <c r="AN28" s="75"/>
      <c r="AO28" s="292"/>
      <c r="AP28" s="293"/>
      <c r="AQ28" s="293"/>
      <c r="AR28" s="293"/>
      <c r="AS28" s="293"/>
      <c r="AT28" s="294"/>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69"/>
      <c r="C29" s="269"/>
      <c r="D29" s="270"/>
      <c r="E29" s="265"/>
      <c r="F29" s="266"/>
      <c r="G29" s="266"/>
      <c r="H29" s="266"/>
      <c r="I29" s="267"/>
      <c r="J29" s="231"/>
      <c r="K29" s="232"/>
      <c r="L29" s="232"/>
      <c r="M29" s="232"/>
      <c r="N29" s="232"/>
      <c r="O29" s="233"/>
      <c r="P29" s="234"/>
      <c r="Q29" s="235"/>
      <c r="R29" s="235"/>
      <c r="S29" s="235"/>
      <c r="T29" s="235"/>
      <c r="U29" s="236"/>
      <c r="V29" s="234"/>
      <c r="W29" s="235"/>
      <c r="X29" s="235"/>
      <c r="Y29" s="235"/>
      <c r="Z29" s="235"/>
      <c r="AA29" s="236"/>
      <c r="AB29" s="252"/>
      <c r="AC29" s="253"/>
      <c r="AD29" s="253"/>
      <c r="AE29" s="253"/>
      <c r="AF29" s="253"/>
      <c r="AG29" s="254"/>
      <c r="AH29" s="243"/>
      <c r="AI29" s="244"/>
      <c r="AJ29" s="244"/>
      <c r="AK29" s="244"/>
      <c r="AL29" s="244"/>
      <c r="AM29" s="245"/>
      <c r="AN29" s="75"/>
      <c r="AO29" s="295"/>
      <c r="AP29" s="296"/>
      <c r="AQ29" s="296"/>
      <c r="AR29" s="296"/>
      <c r="AS29" s="296"/>
      <c r="AT29" s="297"/>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69"/>
      <c r="C30" s="269"/>
      <c r="D30" s="270"/>
      <c r="E30" s="259" t="s">
        <v>113</v>
      </c>
      <c r="F30" s="260"/>
      <c r="G30" s="260"/>
      <c r="H30" s="260"/>
      <c r="I30" s="260"/>
      <c r="J30" s="228" t="e">
        <f>IF(AND('Mapa final'!#REF!="Baja",'Mapa final'!#REF!="Leve"),CONCATENATE("R",'Mapa final'!#REF!),"")</f>
        <v>#REF!</v>
      </c>
      <c r="K30" s="229"/>
      <c r="L30" s="229" t="str">
        <f>IF(AND('Mapa final'!$L$11="Baja",'Mapa final'!$P$11="Leve"),CONCATENATE("R",'Mapa final'!$A$11),"")</f>
        <v/>
      </c>
      <c r="M30" s="229"/>
      <c r="N30" s="229" t="e">
        <f>IF(AND('Mapa final'!#REF!="Baja",'Mapa final'!#REF!="Leve"),CONCATENATE("R",'Mapa final'!#REF!),"")</f>
        <v>#REF!</v>
      </c>
      <c r="O30" s="230"/>
      <c r="P30" s="238" t="e">
        <f>IF(AND('Mapa final'!#REF!="Baja",'Mapa final'!#REF!="Menor"),CONCATENATE("R",'Mapa final'!#REF!),"")</f>
        <v>#REF!</v>
      </c>
      <c r="Q30" s="238"/>
      <c r="R30" s="238" t="str">
        <f>IF(AND('Mapa final'!$L$11="Baja",'Mapa final'!$P$11="Menor"),CONCATENATE("R",'Mapa final'!$A$11),"")</f>
        <v/>
      </c>
      <c r="S30" s="238"/>
      <c r="T30" s="238" t="e">
        <f>IF(AND('Mapa final'!#REF!="Baja",'Mapa final'!#REF!="Menor"),CONCATENATE("R",'Mapa final'!#REF!),"")</f>
        <v>#REF!</v>
      </c>
      <c r="U30" s="239"/>
      <c r="V30" s="237" t="e">
        <f>IF(AND('Mapa final'!#REF!="Baja",'Mapa final'!#REF!="Moderado"),CONCATENATE("R",'Mapa final'!#REF!),"")</f>
        <v>#REF!</v>
      </c>
      <c r="W30" s="238"/>
      <c r="X30" s="238" t="str">
        <f>IF(AND('Mapa final'!$L$11="Baja",'Mapa final'!$P$11="Moderado"),CONCATENATE("R",'Mapa final'!$A$11),"")</f>
        <v/>
      </c>
      <c r="Y30" s="238"/>
      <c r="Z30" s="238" t="e">
        <f>IF(AND('Mapa final'!#REF!="Baja",'Mapa final'!#REF!="Moderado"),CONCATENATE("R",'Mapa final'!#REF!),"")</f>
        <v>#REF!</v>
      </c>
      <c r="AA30" s="239"/>
      <c r="AB30" s="255" t="e">
        <f>IF(AND('Mapa final'!#REF!="Baja",'Mapa final'!#REF!="Mayor"),CONCATENATE("R",'Mapa final'!#REF!),"")</f>
        <v>#REF!</v>
      </c>
      <c r="AC30" s="256"/>
      <c r="AD30" s="256" t="str">
        <f>IF(AND('Mapa final'!$L$11="Baja",'Mapa final'!$P$11="Mayor"),CONCATENATE("R",'Mapa final'!$A$11),"")</f>
        <v>R1</v>
      </c>
      <c r="AE30" s="256"/>
      <c r="AF30" s="256" t="e">
        <f>IF(AND('Mapa final'!#REF!="Baja",'Mapa final'!#REF!="Mayor"),CONCATENATE("R",'Mapa final'!#REF!),"")</f>
        <v>#REF!</v>
      </c>
      <c r="AG30" s="257"/>
      <c r="AH30" s="246" t="e">
        <f>IF(AND('Mapa final'!#REF!="Baja",'Mapa final'!#REF!="Catastrófico"),CONCATENATE("R",'Mapa final'!#REF!),"")</f>
        <v>#REF!</v>
      </c>
      <c r="AI30" s="247"/>
      <c r="AJ30" s="247" t="str">
        <f>IF(AND('Mapa final'!$L$11="Baja",'Mapa final'!$P$11="Catastrófico"),CONCATENATE("R",'Mapa final'!$A$11),"")</f>
        <v/>
      </c>
      <c r="AK30" s="247"/>
      <c r="AL30" s="247" t="e">
        <f>IF(AND('Mapa final'!#REF!="Baja",'Mapa final'!#REF!="Catastrófico"),CONCATENATE("R",'Mapa final'!#REF!),"")</f>
        <v>#REF!</v>
      </c>
      <c r="AM30" s="248"/>
      <c r="AN30" s="75"/>
      <c r="AO30" s="298" t="s">
        <v>81</v>
      </c>
      <c r="AP30" s="299"/>
      <c r="AQ30" s="299"/>
      <c r="AR30" s="299"/>
      <c r="AS30" s="299"/>
      <c r="AT30" s="300"/>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69"/>
      <c r="C31" s="269"/>
      <c r="D31" s="270"/>
      <c r="E31" s="262"/>
      <c r="F31" s="263"/>
      <c r="G31" s="263"/>
      <c r="H31" s="263"/>
      <c r="I31" s="263"/>
      <c r="J31" s="222"/>
      <c r="K31" s="223"/>
      <c r="L31" s="223"/>
      <c r="M31" s="223"/>
      <c r="N31" s="223"/>
      <c r="O31" s="224"/>
      <c r="P31" s="232"/>
      <c r="Q31" s="232"/>
      <c r="R31" s="232"/>
      <c r="S31" s="232"/>
      <c r="T31" s="232"/>
      <c r="U31" s="233"/>
      <c r="V31" s="231"/>
      <c r="W31" s="232"/>
      <c r="X31" s="232"/>
      <c r="Y31" s="232"/>
      <c r="Z31" s="232"/>
      <c r="AA31" s="233"/>
      <c r="AB31" s="249"/>
      <c r="AC31" s="250"/>
      <c r="AD31" s="250"/>
      <c r="AE31" s="250"/>
      <c r="AF31" s="250"/>
      <c r="AG31" s="251"/>
      <c r="AH31" s="240"/>
      <c r="AI31" s="241"/>
      <c r="AJ31" s="241"/>
      <c r="AK31" s="241"/>
      <c r="AL31" s="241"/>
      <c r="AM31" s="242"/>
      <c r="AN31" s="75"/>
      <c r="AO31" s="301"/>
      <c r="AP31" s="302"/>
      <c r="AQ31" s="302"/>
      <c r="AR31" s="302"/>
      <c r="AS31" s="302"/>
      <c r="AT31" s="303"/>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69"/>
      <c r="C32" s="269"/>
      <c r="D32" s="270"/>
      <c r="E32" s="262"/>
      <c r="F32" s="263"/>
      <c r="G32" s="263"/>
      <c r="H32" s="263"/>
      <c r="I32" s="263"/>
      <c r="J32" s="222" t="e">
        <f>IF(AND('Mapa final'!#REF!="Baja",'Mapa final'!#REF!="Leve"),CONCATENATE("R",'Mapa final'!#REF!),"")</f>
        <v>#REF!</v>
      </c>
      <c r="K32" s="223"/>
      <c r="L32" s="223" t="e">
        <f>IF(AND('Mapa final'!#REF!="Baja",'Mapa final'!#REF!="Leve"),CONCATENATE("R",'Mapa final'!#REF!),"")</f>
        <v>#REF!</v>
      </c>
      <c r="M32" s="223"/>
      <c r="N32" s="223" t="e">
        <f>IF(AND('Mapa final'!#REF!="Baja",'Mapa final'!#REF!="Leve"),CONCATENATE("R",'Mapa final'!#REF!),"")</f>
        <v>#REF!</v>
      </c>
      <c r="O32" s="224"/>
      <c r="P32" s="232" t="e">
        <f>IF(AND('Mapa final'!#REF!="Baja",'Mapa final'!#REF!="Menor"),CONCATENATE("R",'Mapa final'!#REF!),"")</f>
        <v>#REF!</v>
      </c>
      <c r="Q32" s="232"/>
      <c r="R32" s="232" t="e">
        <f>IF(AND('Mapa final'!#REF!="Baja",'Mapa final'!#REF!="Menor"),CONCATENATE("R",'Mapa final'!#REF!),"")</f>
        <v>#REF!</v>
      </c>
      <c r="S32" s="232"/>
      <c r="T32" s="232" t="e">
        <f>IF(AND('Mapa final'!#REF!="Baja",'Mapa final'!#REF!="Menor"),CONCATENATE("R",'Mapa final'!#REF!),"")</f>
        <v>#REF!</v>
      </c>
      <c r="U32" s="233"/>
      <c r="V32" s="231" t="e">
        <f>IF(AND('Mapa final'!#REF!="Baja",'Mapa final'!#REF!="Moderado"),CONCATENATE("R",'Mapa final'!#REF!),"")</f>
        <v>#REF!</v>
      </c>
      <c r="W32" s="232"/>
      <c r="X32" s="232" t="e">
        <f>IF(AND('Mapa final'!#REF!="Baja",'Mapa final'!#REF!="Moderado"),CONCATENATE("R",'Mapa final'!#REF!),"")</f>
        <v>#REF!</v>
      </c>
      <c r="Y32" s="232"/>
      <c r="Z32" s="232" t="e">
        <f>IF(AND('Mapa final'!#REF!="Baja",'Mapa final'!#REF!="Moderado"),CONCATENATE("R",'Mapa final'!#REF!),"")</f>
        <v>#REF!</v>
      </c>
      <c r="AA32" s="233"/>
      <c r="AB32" s="249" t="e">
        <f>IF(AND('Mapa final'!#REF!="Baja",'Mapa final'!#REF!="Mayor"),CONCATENATE("R",'Mapa final'!#REF!),"")</f>
        <v>#REF!</v>
      </c>
      <c r="AC32" s="250"/>
      <c r="AD32" s="250" t="e">
        <f>IF(AND('Mapa final'!#REF!="Baja",'Mapa final'!#REF!="Mayor"),CONCATENATE("R",'Mapa final'!#REF!),"")</f>
        <v>#REF!</v>
      </c>
      <c r="AE32" s="250"/>
      <c r="AF32" s="250" t="e">
        <f>IF(AND('Mapa final'!#REF!="Baja",'Mapa final'!#REF!="Mayor"),CONCATENATE("R",'Mapa final'!#REF!),"")</f>
        <v>#REF!</v>
      </c>
      <c r="AG32" s="251"/>
      <c r="AH32" s="240" t="e">
        <f>IF(AND('Mapa final'!#REF!="Baja",'Mapa final'!#REF!="Catastrófico"),CONCATENATE("R",'Mapa final'!#REF!),"")</f>
        <v>#REF!</v>
      </c>
      <c r="AI32" s="241"/>
      <c r="AJ32" s="241" t="e">
        <f>IF(AND('Mapa final'!#REF!="Baja",'Mapa final'!#REF!="Catastrófico"),CONCATENATE("R",'Mapa final'!#REF!),"")</f>
        <v>#REF!</v>
      </c>
      <c r="AK32" s="241"/>
      <c r="AL32" s="241" t="e">
        <f>IF(AND('Mapa final'!#REF!="Baja",'Mapa final'!#REF!="Catastrófico"),CONCATENATE("R",'Mapa final'!#REF!),"")</f>
        <v>#REF!</v>
      </c>
      <c r="AM32" s="242"/>
      <c r="AN32" s="75"/>
      <c r="AO32" s="301"/>
      <c r="AP32" s="302"/>
      <c r="AQ32" s="302"/>
      <c r="AR32" s="302"/>
      <c r="AS32" s="302"/>
      <c r="AT32" s="303"/>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69"/>
      <c r="C33" s="269"/>
      <c r="D33" s="270"/>
      <c r="E33" s="262"/>
      <c r="F33" s="263"/>
      <c r="G33" s="263"/>
      <c r="H33" s="263"/>
      <c r="I33" s="263"/>
      <c r="J33" s="222"/>
      <c r="K33" s="223"/>
      <c r="L33" s="223"/>
      <c r="M33" s="223"/>
      <c r="N33" s="223"/>
      <c r="O33" s="224"/>
      <c r="P33" s="232"/>
      <c r="Q33" s="232"/>
      <c r="R33" s="232"/>
      <c r="S33" s="232"/>
      <c r="T33" s="232"/>
      <c r="U33" s="233"/>
      <c r="V33" s="231"/>
      <c r="W33" s="232"/>
      <c r="X33" s="232"/>
      <c r="Y33" s="232"/>
      <c r="Z33" s="232"/>
      <c r="AA33" s="233"/>
      <c r="AB33" s="249"/>
      <c r="AC33" s="250"/>
      <c r="AD33" s="250"/>
      <c r="AE33" s="250"/>
      <c r="AF33" s="250"/>
      <c r="AG33" s="251"/>
      <c r="AH33" s="240"/>
      <c r="AI33" s="241"/>
      <c r="AJ33" s="241"/>
      <c r="AK33" s="241"/>
      <c r="AL33" s="241"/>
      <c r="AM33" s="242"/>
      <c r="AN33" s="75"/>
      <c r="AO33" s="301"/>
      <c r="AP33" s="302"/>
      <c r="AQ33" s="302"/>
      <c r="AR33" s="302"/>
      <c r="AS33" s="302"/>
      <c r="AT33" s="303"/>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69"/>
      <c r="C34" s="269"/>
      <c r="D34" s="270"/>
      <c r="E34" s="262"/>
      <c r="F34" s="263"/>
      <c r="G34" s="263"/>
      <c r="H34" s="263"/>
      <c r="I34" s="263"/>
      <c r="J34" s="222" t="e">
        <f>IF(AND('Mapa final'!#REF!="Baja",'Mapa final'!#REF!="Leve"),CONCATENATE("R",'Mapa final'!#REF!),"")</f>
        <v>#REF!</v>
      </c>
      <c r="K34" s="223"/>
      <c r="L34" s="223" t="e">
        <f>IF(AND('Mapa final'!#REF!="Baja",'Mapa final'!#REF!="Leve"),CONCATENATE("R",'Mapa final'!#REF!),"")</f>
        <v>#REF!</v>
      </c>
      <c r="M34" s="223"/>
      <c r="N34" s="223" t="e">
        <f>IF(AND('Mapa final'!#REF!="Baja",'Mapa final'!#REF!="Leve"),CONCATENATE("R",'Mapa final'!#REF!),"")</f>
        <v>#REF!</v>
      </c>
      <c r="O34" s="224"/>
      <c r="P34" s="232" t="e">
        <f>IF(AND('Mapa final'!#REF!="Baja",'Mapa final'!#REF!="Menor"),CONCATENATE("R",'Mapa final'!#REF!),"")</f>
        <v>#REF!</v>
      </c>
      <c r="Q34" s="232"/>
      <c r="R34" s="232" t="e">
        <f>IF(AND('Mapa final'!#REF!="Baja",'Mapa final'!#REF!="Menor"),CONCATENATE("R",'Mapa final'!#REF!),"")</f>
        <v>#REF!</v>
      </c>
      <c r="S34" s="232"/>
      <c r="T34" s="232" t="e">
        <f>IF(AND('Mapa final'!#REF!="Baja",'Mapa final'!#REF!="Menor"),CONCATENATE("R",'Mapa final'!#REF!),"")</f>
        <v>#REF!</v>
      </c>
      <c r="U34" s="233"/>
      <c r="V34" s="231" t="e">
        <f>IF(AND('Mapa final'!#REF!="Baja",'Mapa final'!#REF!="Moderado"),CONCATENATE("R",'Mapa final'!#REF!),"")</f>
        <v>#REF!</v>
      </c>
      <c r="W34" s="232"/>
      <c r="X34" s="232" t="e">
        <f>IF(AND('Mapa final'!#REF!="Baja",'Mapa final'!#REF!="Moderado"),CONCATENATE("R",'Mapa final'!#REF!),"")</f>
        <v>#REF!</v>
      </c>
      <c r="Y34" s="232"/>
      <c r="Z34" s="232" t="e">
        <f>IF(AND('Mapa final'!#REF!="Baja",'Mapa final'!#REF!="Moderado"),CONCATENATE("R",'Mapa final'!#REF!),"")</f>
        <v>#REF!</v>
      </c>
      <c r="AA34" s="233"/>
      <c r="AB34" s="249" t="e">
        <f>IF(AND('Mapa final'!#REF!="Baja",'Mapa final'!#REF!="Mayor"),CONCATENATE("R",'Mapa final'!#REF!),"")</f>
        <v>#REF!</v>
      </c>
      <c r="AC34" s="250"/>
      <c r="AD34" s="250" t="e">
        <f>IF(AND('Mapa final'!#REF!="Baja",'Mapa final'!#REF!="Mayor"),CONCATENATE("R",'Mapa final'!#REF!),"")</f>
        <v>#REF!</v>
      </c>
      <c r="AE34" s="250"/>
      <c r="AF34" s="250" t="e">
        <f>IF(AND('Mapa final'!#REF!="Baja",'Mapa final'!#REF!="Mayor"),CONCATENATE("R",'Mapa final'!#REF!),"")</f>
        <v>#REF!</v>
      </c>
      <c r="AG34" s="251"/>
      <c r="AH34" s="240" t="e">
        <f>IF(AND('Mapa final'!#REF!="Baja",'Mapa final'!#REF!="Catastrófico"),CONCATENATE("R",'Mapa final'!#REF!),"")</f>
        <v>#REF!</v>
      </c>
      <c r="AI34" s="241"/>
      <c r="AJ34" s="241" t="e">
        <f>IF(AND('Mapa final'!#REF!="Baja",'Mapa final'!#REF!="Catastrófico"),CONCATENATE("R",'Mapa final'!#REF!),"")</f>
        <v>#REF!</v>
      </c>
      <c r="AK34" s="241"/>
      <c r="AL34" s="241" t="e">
        <f>IF(AND('Mapa final'!#REF!="Baja",'Mapa final'!#REF!="Catastrófico"),CONCATENATE("R",'Mapa final'!#REF!),"")</f>
        <v>#REF!</v>
      </c>
      <c r="AM34" s="242"/>
      <c r="AN34" s="75"/>
      <c r="AO34" s="301"/>
      <c r="AP34" s="302"/>
      <c r="AQ34" s="302"/>
      <c r="AR34" s="302"/>
      <c r="AS34" s="302"/>
      <c r="AT34" s="303"/>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69"/>
      <c r="C35" s="269"/>
      <c r="D35" s="270"/>
      <c r="E35" s="262"/>
      <c r="F35" s="263"/>
      <c r="G35" s="263"/>
      <c r="H35" s="263"/>
      <c r="I35" s="263"/>
      <c r="J35" s="222"/>
      <c r="K35" s="223"/>
      <c r="L35" s="223"/>
      <c r="M35" s="223"/>
      <c r="N35" s="223"/>
      <c r="O35" s="224"/>
      <c r="P35" s="232"/>
      <c r="Q35" s="232"/>
      <c r="R35" s="232"/>
      <c r="S35" s="232"/>
      <c r="T35" s="232"/>
      <c r="U35" s="233"/>
      <c r="V35" s="231"/>
      <c r="W35" s="232"/>
      <c r="X35" s="232"/>
      <c r="Y35" s="232"/>
      <c r="Z35" s="232"/>
      <c r="AA35" s="233"/>
      <c r="AB35" s="249"/>
      <c r="AC35" s="250"/>
      <c r="AD35" s="250"/>
      <c r="AE35" s="250"/>
      <c r="AF35" s="250"/>
      <c r="AG35" s="251"/>
      <c r="AH35" s="240"/>
      <c r="AI35" s="241"/>
      <c r="AJ35" s="241"/>
      <c r="AK35" s="241"/>
      <c r="AL35" s="241"/>
      <c r="AM35" s="242"/>
      <c r="AN35" s="75"/>
      <c r="AO35" s="301"/>
      <c r="AP35" s="302"/>
      <c r="AQ35" s="302"/>
      <c r="AR35" s="302"/>
      <c r="AS35" s="302"/>
      <c r="AT35" s="303"/>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69"/>
      <c r="C36" s="269"/>
      <c r="D36" s="270"/>
      <c r="E36" s="262"/>
      <c r="F36" s="263"/>
      <c r="G36" s="263"/>
      <c r="H36" s="263"/>
      <c r="I36" s="263"/>
      <c r="J36" s="222" t="e">
        <f>IF(AND('Mapa final'!#REF!="Baja",'Mapa final'!#REF!="Leve"),CONCATENATE("R",'Mapa final'!#REF!),"")</f>
        <v>#REF!</v>
      </c>
      <c r="K36" s="223"/>
      <c r="L36" s="223" t="str">
        <f>IF(AND('Mapa final'!$L$14="Baja",'Mapa final'!$P$14="Leve"),CONCATENATE("R",'Mapa final'!$A$14),"")</f>
        <v/>
      </c>
      <c r="M36" s="223"/>
      <c r="N36" s="223" t="str">
        <f>IF(AND('Mapa final'!$L$16="Baja",'Mapa final'!$P$16="Leve"),CONCATENATE("R",'Mapa final'!$A$16),"")</f>
        <v/>
      </c>
      <c r="O36" s="224"/>
      <c r="P36" s="232" t="e">
        <f>IF(AND('Mapa final'!#REF!="Baja",'Mapa final'!#REF!="Menor"),CONCATENATE("R",'Mapa final'!#REF!),"")</f>
        <v>#REF!</v>
      </c>
      <c r="Q36" s="232"/>
      <c r="R36" s="232" t="str">
        <f>IF(AND('Mapa final'!$L$14="Baja",'Mapa final'!$P$14="Menor"),CONCATENATE("R",'Mapa final'!$A$14),"")</f>
        <v/>
      </c>
      <c r="S36" s="232"/>
      <c r="T36" s="232" t="str">
        <f>IF(AND('Mapa final'!$L$16="Baja",'Mapa final'!$P$16="Menor"),CONCATENATE("R",'Mapa final'!$A$16),"")</f>
        <v/>
      </c>
      <c r="U36" s="233"/>
      <c r="V36" s="231" t="e">
        <f>IF(AND('Mapa final'!#REF!="Baja",'Mapa final'!#REF!="Moderado"),CONCATENATE("R",'Mapa final'!#REF!),"")</f>
        <v>#REF!</v>
      </c>
      <c r="W36" s="232"/>
      <c r="X36" s="232" t="str">
        <f>IF(AND('Mapa final'!$L$14="Baja",'Mapa final'!$P$14="Moderado"),CONCATENATE("R",'Mapa final'!$A$14),"")</f>
        <v/>
      </c>
      <c r="Y36" s="232"/>
      <c r="Z36" s="232" t="str">
        <f>IF(AND('Mapa final'!$L$16="Baja",'Mapa final'!$P$16="Moderado"),CONCATENATE("R",'Mapa final'!$A$16),"")</f>
        <v/>
      </c>
      <c r="AA36" s="233"/>
      <c r="AB36" s="249" t="e">
        <f>IF(AND('Mapa final'!#REF!="Baja",'Mapa final'!#REF!="Mayor"),CONCATENATE("R",'Mapa final'!#REF!),"")</f>
        <v>#REF!</v>
      </c>
      <c r="AC36" s="250"/>
      <c r="AD36" s="250" t="str">
        <f>IF(AND('Mapa final'!$L$14="Baja",'Mapa final'!$P$14="Mayor"),CONCATENATE("R",'Mapa final'!$A$14),"")</f>
        <v/>
      </c>
      <c r="AE36" s="250"/>
      <c r="AF36" s="250" t="str">
        <f>IF(AND('Mapa final'!$L$16="Baja",'Mapa final'!$P$16="Mayor"),CONCATENATE("R",'Mapa final'!$A$16),"")</f>
        <v/>
      </c>
      <c r="AG36" s="251"/>
      <c r="AH36" s="240" t="e">
        <f>IF(AND('Mapa final'!#REF!="Baja",'Mapa final'!#REF!="Catastrófico"),CONCATENATE("R",'Mapa final'!#REF!),"")</f>
        <v>#REF!</v>
      </c>
      <c r="AI36" s="241"/>
      <c r="AJ36" s="241" t="str">
        <f>IF(AND('Mapa final'!$L$14="Baja",'Mapa final'!$P$14="Catastrófico"),CONCATENATE("R",'Mapa final'!$A$14),"")</f>
        <v/>
      </c>
      <c r="AK36" s="241"/>
      <c r="AL36" s="241" t="str">
        <f>IF(AND('Mapa final'!$L$16="Baja",'Mapa final'!$P$16="Catastrófico"),CONCATENATE("R",'Mapa final'!$A$16),"")</f>
        <v/>
      </c>
      <c r="AM36" s="242"/>
      <c r="AN36" s="75"/>
      <c r="AO36" s="301"/>
      <c r="AP36" s="302"/>
      <c r="AQ36" s="302"/>
      <c r="AR36" s="302"/>
      <c r="AS36" s="302"/>
      <c r="AT36" s="303"/>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69"/>
      <c r="C37" s="269"/>
      <c r="D37" s="270"/>
      <c r="E37" s="265"/>
      <c r="F37" s="266"/>
      <c r="G37" s="266"/>
      <c r="H37" s="266"/>
      <c r="I37" s="266"/>
      <c r="J37" s="225"/>
      <c r="K37" s="226"/>
      <c r="L37" s="226"/>
      <c r="M37" s="226"/>
      <c r="N37" s="226"/>
      <c r="O37" s="227"/>
      <c r="P37" s="235"/>
      <c r="Q37" s="235"/>
      <c r="R37" s="235"/>
      <c r="S37" s="235"/>
      <c r="T37" s="235"/>
      <c r="U37" s="236"/>
      <c r="V37" s="234"/>
      <c r="W37" s="235"/>
      <c r="X37" s="235"/>
      <c r="Y37" s="235"/>
      <c r="Z37" s="235"/>
      <c r="AA37" s="236"/>
      <c r="AB37" s="252"/>
      <c r="AC37" s="253"/>
      <c r="AD37" s="253"/>
      <c r="AE37" s="253"/>
      <c r="AF37" s="253"/>
      <c r="AG37" s="254"/>
      <c r="AH37" s="243"/>
      <c r="AI37" s="244"/>
      <c r="AJ37" s="244"/>
      <c r="AK37" s="244"/>
      <c r="AL37" s="244"/>
      <c r="AM37" s="245"/>
      <c r="AN37" s="75"/>
      <c r="AO37" s="304"/>
      <c r="AP37" s="305"/>
      <c r="AQ37" s="305"/>
      <c r="AR37" s="305"/>
      <c r="AS37" s="305"/>
      <c r="AT37" s="306"/>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69"/>
      <c r="C38" s="269"/>
      <c r="D38" s="270"/>
      <c r="E38" s="259" t="s">
        <v>112</v>
      </c>
      <c r="F38" s="260"/>
      <c r="G38" s="260"/>
      <c r="H38" s="260"/>
      <c r="I38" s="261"/>
      <c r="J38" s="228" t="e">
        <f>IF(AND('Mapa final'!#REF!="Muy Baja",'Mapa final'!#REF!="Leve"),CONCATENATE("R",'Mapa final'!#REF!),"")</f>
        <v>#REF!</v>
      </c>
      <c r="K38" s="229"/>
      <c r="L38" s="229" t="str">
        <f>IF(AND('Mapa final'!$L$11="Muy Baja",'Mapa final'!$P$11="Leve"),CONCATENATE("R",'Mapa final'!$A$11),"")</f>
        <v/>
      </c>
      <c r="M38" s="229"/>
      <c r="N38" s="229" t="e">
        <f>IF(AND('Mapa final'!#REF!="Muy Baja",'Mapa final'!#REF!="Leve"),CONCATENATE("R",'Mapa final'!#REF!),"")</f>
        <v>#REF!</v>
      </c>
      <c r="O38" s="230"/>
      <c r="P38" s="228" t="e">
        <f>IF(AND('Mapa final'!#REF!="Muy Baja",'Mapa final'!#REF!="Menor"),CONCATENATE("R",'Mapa final'!#REF!),"")</f>
        <v>#REF!</v>
      </c>
      <c r="Q38" s="229"/>
      <c r="R38" s="229" t="str">
        <f>IF(AND('Mapa final'!$L$11="Muy Baja",'Mapa final'!$P$11="Menor"),CONCATENATE("R",'Mapa final'!$A$11),"")</f>
        <v/>
      </c>
      <c r="S38" s="229"/>
      <c r="T38" s="229" t="e">
        <f>IF(AND('Mapa final'!#REF!="Muy Baja",'Mapa final'!#REF!="Menor"),CONCATENATE("R",'Mapa final'!#REF!),"")</f>
        <v>#REF!</v>
      </c>
      <c r="U38" s="230"/>
      <c r="V38" s="237" t="e">
        <f>IF(AND('Mapa final'!#REF!="Muy Baja",'Mapa final'!#REF!="Moderado"),CONCATENATE("R",'Mapa final'!#REF!),"")</f>
        <v>#REF!</v>
      </c>
      <c r="W38" s="238"/>
      <c r="X38" s="238" t="str">
        <f>IF(AND('Mapa final'!$L$11="Muy Baja",'Mapa final'!$P$11="Moderado"),CONCATENATE("R",'Mapa final'!$A$11),"")</f>
        <v/>
      </c>
      <c r="Y38" s="238"/>
      <c r="Z38" s="238" t="e">
        <f>IF(AND('Mapa final'!#REF!="Muy Baja",'Mapa final'!#REF!="Moderado"),CONCATENATE("R",'Mapa final'!#REF!),"")</f>
        <v>#REF!</v>
      </c>
      <c r="AA38" s="239"/>
      <c r="AB38" s="255" t="e">
        <f>IF(AND('Mapa final'!#REF!="Muy Baja",'Mapa final'!#REF!="Mayor"),CONCATENATE("R",'Mapa final'!#REF!),"")</f>
        <v>#REF!</v>
      </c>
      <c r="AC38" s="256"/>
      <c r="AD38" s="256" t="str">
        <f>IF(AND('Mapa final'!$L$11="Muy Baja",'Mapa final'!$P$11="Mayor"),CONCATENATE("R",'Mapa final'!$A$11),"")</f>
        <v/>
      </c>
      <c r="AE38" s="256"/>
      <c r="AF38" s="256" t="e">
        <f>IF(AND('Mapa final'!#REF!="Muy Baja",'Mapa final'!#REF!="Mayor"),CONCATENATE("R",'Mapa final'!#REF!),"")</f>
        <v>#REF!</v>
      </c>
      <c r="AG38" s="257"/>
      <c r="AH38" s="246" t="e">
        <f>IF(AND('Mapa final'!#REF!="Muy Baja",'Mapa final'!#REF!="Catastrófico"),CONCATENATE("R",'Mapa final'!#REF!),"")</f>
        <v>#REF!</v>
      </c>
      <c r="AI38" s="247"/>
      <c r="AJ38" s="247" t="str">
        <f>IF(AND('Mapa final'!$L$11="Muy Baja",'Mapa final'!$P$11="Catastrófico"),CONCATENATE("R",'Mapa final'!$A$11),"")</f>
        <v/>
      </c>
      <c r="AK38" s="247"/>
      <c r="AL38" s="247" t="e">
        <f>IF(AND('Mapa final'!#REF!="Muy Baja",'Mapa final'!#REF!="Catastrófico"),CONCATENATE("R",'Mapa final'!#REF!),"")</f>
        <v>#REF!</v>
      </c>
      <c r="AM38" s="248"/>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69"/>
      <c r="C39" s="269"/>
      <c r="D39" s="270"/>
      <c r="E39" s="262"/>
      <c r="F39" s="263"/>
      <c r="G39" s="263"/>
      <c r="H39" s="263"/>
      <c r="I39" s="264"/>
      <c r="J39" s="222"/>
      <c r="K39" s="223"/>
      <c r="L39" s="223"/>
      <c r="M39" s="223"/>
      <c r="N39" s="223"/>
      <c r="O39" s="224"/>
      <c r="P39" s="222"/>
      <c r="Q39" s="223"/>
      <c r="R39" s="223"/>
      <c r="S39" s="223"/>
      <c r="T39" s="223"/>
      <c r="U39" s="224"/>
      <c r="V39" s="231"/>
      <c r="W39" s="232"/>
      <c r="X39" s="232"/>
      <c r="Y39" s="232"/>
      <c r="Z39" s="232"/>
      <c r="AA39" s="233"/>
      <c r="AB39" s="249"/>
      <c r="AC39" s="250"/>
      <c r="AD39" s="250"/>
      <c r="AE39" s="250"/>
      <c r="AF39" s="250"/>
      <c r="AG39" s="251"/>
      <c r="AH39" s="240"/>
      <c r="AI39" s="241"/>
      <c r="AJ39" s="241"/>
      <c r="AK39" s="241"/>
      <c r="AL39" s="241"/>
      <c r="AM39" s="242"/>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69"/>
      <c r="C40" s="269"/>
      <c r="D40" s="270"/>
      <c r="E40" s="262"/>
      <c r="F40" s="263"/>
      <c r="G40" s="263"/>
      <c r="H40" s="263"/>
      <c r="I40" s="264"/>
      <c r="J40" s="222" t="e">
        <f>IF(AND('Mapa final'!#REF!="Muy Baja",'Mapa final'!#REF!="Leve"),CONCATENATE("R",'Mapa final'!#REF!),"")</f>
        <v>#REF!</v>
      </c>
      <c r="K40" s="223"/>
      <c r="L40" s="223" t="e">
        <f>IF(AND('Mapa final'!#REF!="Muy Baja",'Mapa final'!#REF!="Leve"),CONCATENATE("R",'Mapa final'!#REF!),"")</f>
        <v>#REF!</v>
      </c>
      <c r="M40" s="223"/>
      <c r="N40" s="223" t="e">
        <f>IF(AND('Mapa final'!#REF!="Muy Baja",'Mapa final'!#REF!="Leve"),CONCATENATE("R",'Mapa final'!#REF!),"")</f>
        <v>#REF!</v>
      </c>
      <c r="O40" s="224"/>
      <c r="P40" s="222" t="e">
        <f>IF(AND('Mapa final'!#REF!="Muy Baja",'Mapa final'!#REF!="Menor"),CONCATENATE("R",'Mapa final'!#REF!),"")</f>
        <v>#REF!</v>
      </c>
      <c r="Q40" s="223"/>
      <c r="R40" s="223" t="e">
        <f>IF(AND('Mapa final'!#REF!="Muy Baja",'Mapa final'!#REF!="Menor"),CONCATENATE("R",'Mapa final'!#REF!),"")</f>
        <v>#REF!</v>
      </c>
      <c r="S40" s="223"/>
      <c r="T40" s="223" t="e">
        <f>IF(AND('Mapa final'!#REF!="Muy Baja",'Mapa final'!#REF!="Menor"),CONCATENATE("R",'Mapa final'!#REF!),"")</f>
        <v>#REF!</v>
      </c>
      <c r="U40" s="224"/>
      <c r="V40" s="231" t="e">
        <f>IF(AND('Mapa final'!#REF!="Muy Baja",'Mapa final'!#REF!="Moderado"),CONCATENATE("R",'Mapa final'!#REF!),"")</f>
        <v>#REF!</v>
      </c>
      <c r="W40" s="232"/>
      <c r="X40" s="232" t="e">
        <f>IF(AND('Mapa final'!#REF!="Muy Baja",'Mapa final'!#REF!="Moderado"),CONCATENATE("R",'Mapa final'!#REF!),"")</f>
        <v>#REF!</v>
      </c>
      <c r="Y40" s="232"/>
      <c r="Z40" s="232" t="e">
        <f>IF(AND('Mapa final'!#REF!="Muy Baja",'Mapa final'!#REF!="Moderado"),CONCATENATE("R",'Mapa final'!#REF!),"")</f>
        <v>#REF!</v>
      </c>
      <c r="AA40" s="233"/>
      <c r="AB40" s="249" t="e">
        <f>IF(AND('Mapa final'!#REF!="Muy Baja",'Mapa final'!#REF!="Mayor"),CONCATENATE("R",'Mapa final'!#REF!),"")</f>
        <v>#REF!</v>
      </c>
      <c r="AC40" s="250"/>
      <c r="AD40" s="250" t="e">
        <f>IF(AND('Mapa final'!#REF!="Muy Baja",'Mapa final'!#REF!="Mayor"),CONCATENATE("R",'Mapa final'!#REF!),"")</f>
        <v>#REF!</v>
      </c>
      <c r="AE40" s="250"/>
      <c r="AF40" s="250" t="e">
        <f>IF(AND('Mapa final'!#REF!="Muy Baja",'Mapa final'!#REF!="Mayor"),CONCATENATE("R",'Mapa final'!#REF!),"")</f>
        <v>#REF!</v>
      </c>
      <c r="AG40" s="251"/>
      <c r="AH40" s="240" t="e">
        <f>IF(AND('Mapa final'!#REF!="Muy Baja",'Mapa final'!#REF!="Catastrófico"),CONCATENATE("R",'Mapa final'!#REF!),"")</f>
        <v>#REF!</v>
      </c>
      <c r="AI40" s="241"/>
      <c r="AJ40" s="241" t="e">
        <f>IF(AND('Mapa final'!#REF!="Muy Baja",'Mapa final'!#REF!="Catastrófico"),CONCATENATE("R",'Mapa final'!#REF!),"")</f>
        <v>#REF!</v>
      </c>
      <c r="AK40" s="241"/>
      <c r="AL40" s="241" t="e">
        <f>IF(AND('Mapa final'!#REF!="Muy Baja",'Mapa final'!#REF!="Catastrófico"),CONCATENATE("R",'Mapa final'!#REF!),"")</f>
        <v>#REF!</v>
      </c>
      <c r="AM40" s="242"/>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69"/>
      <c r="C41" s="269"/>
      <c r="D41" s="270"/>
      <c r="E41" s="262"/>
      <c r="F41" s="263"/>
      <c r="G41" s="263"/>
      <c r="H41" s="263"/>
      <c r="I41" s="264"/>
      <c r="J41" s="222"/>
      <c r="K41" s="223"/>
      <c r="L41" s="223"/>
      <c r="M41" s="223"/>
      <c r="N41" s="223"/>
      <c r="O41" s="224"/>
      <c r="P41" s="222"/>
      <c r="Q41" s="223"/>
      <c r="R41" s="223"/>
      <c r="S41" s="223"/>
      <c r="T41" s="223"/>
      <c r="U41" s="224"/>
      <c r="V41" s="231"/>
      <c r="W41" s="232"/>
      <c r="X41" s="232"/>
      <c r="Y41" s="232"/>
      <c r="Z41" s="232"/>
      <c r="AA41" s="233"/>
      <c r="AB41" s="249"/>
      <c r="AC41" s="250"/>
      <c r="AD41" s="250"/>
      <c r="AE41" s="250"/>
      <c r="AF41" s="250"/>
      <c r="AG41" s="251"/>
      <c r="AH41" s="240"/>
      <c r="AI41" s="241"/>
      <c r="AJ41" s="241"/>
      <c r="AK41" s="241"/>
      <c r="AL41" s="241"/>
      <c r="AM41" s="242"/>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69"/>
      <c r="C42" s="269"/>
      <c r="D42" s="270"/>
      <c r="E42" s="262"/>
      <c r="F42" s="263"/>
      <c r="G42" s="263"/>
      <c r="H42" s="263"/>
      <c r="I42" s="264"/>
      <c r="J42" s="222" t="e">
        <f>IF(AND('Mapa final'!#REF!="Muy Baja",'Mapa final'!#REF!="Leve"),CONCATENATE("R",'Mapa final'!#REF!),"")</f>
        <v>#REF!</v>
      </c>
      <c r="K42" s="223"/>
      <c r="L42" s="223" t="e">
        <f>IF(AND('Mapa final'!#REF!="Muy Baja",'Mapa final'!#REF!="Leve"),CONCATENATE("R",'Mapa final'!#REF!),"")</f>
        <v>#REF!</v>
      </c>
      <c r="M42" s="223"/>
      <c r="N42" s="223" t="e">
        <f>IF(AND('Mapa final'!#REF!="Muy Baja",'Mapa final'!#REF!="Leve"),CONCATENATE("R",'Mapa final'!#REF!),"")</f>
        <v>#REF!</v>
      </c>
      <c r="O42" s="224"/>
      <c r="P42" s="222" t="e">
        <f>IF(AND('Mapa final'!#REF!="Muy Baja",'Mapa final'!#REF!="Menor"),CONCATENATE("R",'Mapa final'!#REF!),"")</f>
        <v>#REF!</v>
      </c>
      <c r="Q42" s="223"/>
      <c r="R42" s="223" t="e">
        <f>IF(AND('Mapa final'!#REF!="Muy Baja",'Mapa final'!#REF!="Menor"),CONCATENATE("R",'Mapa final'!#REF!),"")</f>
        <v>#REF!</v>
      </c>
      <c r="S42" s="223"/>
      <c r="T42" s="223" t="e">
        <f>IF(AND('Mapa final'!#REF!="Muy Baja",'Mapa final'!#REF!="Menor"),CONCATENATE("R",'Mapa final'!#REF!),"")</f>
        <v>#REF!</v>
      </c>
      <c r="U42" s="224"/>
      <c r="V42" s="231" t="e">
        <f>IF(AND('Mapa final'!#REF!="Muy Baja",'Mapa final'!#REF!="Moderado"),CONCATENATE("R",'Mapa final'!#REF!),"")</f>
        <v>#REF!</v>
      </c>
      <c r="W42" s="232"/>
      <c r="X42" s="232" t="e">
        <f>IF(AND('Mapa final'!#REF!="Muy Baja",'Mapa final'!#REF!="Moderado"),CONCATENATE("R",'Mapa final'!#REF!),"")</f>
        <v>#REF!</v>
      </c>
      <c r="Y42" s="232"/>
      <c r="Z42" s="232" t="e">
        <f>IF(AND('Mapa final'!#REF!="Muy Baja",'Mapa final'!#REF!="Moderado"),CONCATENATE("R",'Mapa final'!#REF!),"")</f>
        <v>#REF!</v>
      </c>
      <c r="AA42" s="233"/>
      <c r="AB42" s="249" t="e">
        <f>IF(AND('Mapa final'!#REF!="Muy Baja",'Mapa final'!#REF!="Mayor"),CONCATENATE("R",'Mapa final'!#REF!),"")</f>
        <v>#REF!</v>
      </c>
      <c r="AC42" s="250"/>
      <c r="AD42" s="250" t="e">
        <f>IF(AND('Mapa final'!#REF!="Muy Baja",'Mapa final'!#REF!="Mayor"),CONCATENATE("R",'Mapa final'!#REF!),"")</f>
        <v>#REF!</v>
      </c>
      <c r="AE42" s="250"/>
      <c r="AF42" s="250" t="e">
        <f>IF(AND('Mapa final'!#REF!="Muy Baja",'Mapa final'!#REF!="Mayor"),CONCATENATE("R",'Mapa final'!#REF!),"")</f>
        <v>#REF!</v>
      </c>
      <c r="AG42" s="251"/>
      <c r="AH42" s="240" t="e">
        <f>IF(AND('Mapa final'!#REF!="Muy Baja",'Mapa final'!#REF!="Catastrófico"),CONCATENATE("R",'Mapa final'!#REF!),"")</f>
        <v>#REF!</v>
      </c>
      <c r="AI42" s="241"/>
      <c r="AJ42" s="241" t="e">
        <f>IF(AND('Mapa final'!#REF!="Muy Baja",'Mapa final'!#REF!="Catastrófico"),CONCATENATE("R",'Mapa final'!#REF!),"")</f>
        <v>#REF!</v>
      </c>
      <c r="AK42" s="241"/>
      <c r="AL42" s="241" t="e">
        <f>IF(AND('Mapa final'!#REF!="Muy Baja",'Mapa final'!#REF!="Catastrófico"),CONCATENATE("R",'Mapa final'!#REF!),"")</f>
        <v>#REF!</v>
      </c>
      <c r="AM42" s="242"/>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69"/>
      <c r="C43" s="269"/>
      <c r="D43" s="270"/>
      <c r="E43" s="262"/>
      <c r="F43" s="263"/>
      <c r="G43" s="263"/>
      <c r="H43" s="263"/>
      <c r="I43" s="264"/>
      <c r="J43" s="222"/>
      <c r="K43" s="223"/>
      <c r="L43" s="223"/>
      <c r="M43" s="223"/>
      <c r="N43" s="223"/>
      <c r="O43" s="224"/>
      <c r="P43" s="222"/>
      <c r="Q43" s="223"/>
      <c r="R43" s="223"/>
      <c r="S43" s="223"/>
      <c r="T43" s="223"/>
      <c r="U43" s="224"/>
      <c r="V43" s="231"/>
      <c r="W43" s="232"/>
      <c r="X43" s="232"/>
      <c r="Y43" s="232"/>
      <c r="Z43" s="232"/>
      <c r="AA43" s="233"/>
      <c r="AB43" s="249"/>
      <c r="AC43" s="250"/>
      <c r="AD43" s="250"/>
      <c r="AE43" s="250"/>
      <c r="AF43" s="250"/>
      <c r="AG43" s="251"/>
      <c r="AH43" s="240"/>
      <c r="AI43" s="241"/>
      <c r="AJ43" s="241"/>
      <c r="AK43" s="241"/>
      <c r="AL43" s="241"/>
      <c r="AM43" s="242"/>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69"/>
      <c r="C44" s="269"/>
      <c r="D44" s="270"/>
      <c r="E44" s="262"/>
      <c r="F44" s="263"/>
      <c r="G44" s="263"/>
      <c r="H44" s="263"/>
      <c r="I44" s="264"/>
      <c r="J44" s="222" t="e">
        <f>IF(AND('Mapa final'!#REF!="Muy Baja",'Mapa final'!#REF!="Leve"),CONCATENATE("R",'Mapa final'!#REF!),"")</f>
        <v>#REF!</v>
      </c>
      <c r="K44" s="223"/>
      <c r="L44" s="223" t="str">
        <f>IF(AND('Mapa final'!$L$14="Muy Baja",'Mapa final'!$P$14="Leve"),CONCATENATE("R",'Mapa final'!$A$14),"")</f>
        <v/>
      </c>
      <c r="M44" s="223"/>
      <c r="N44" s="223" t="str">
        <f>IF(AND('Mapa final'!$L$16="Muy Baja",'Mapa final'!$P$16="Leve"),CONCATENATE("R",'Mapa final'!$A$16),"")</f>
        <v/>
      </c>
      <c r="O44" s="224"/>
      <c r="P44" s="222" t="e">
        <f>IF(AND('Mapa final'!#REF!="Muy Baja",'Mapa final'!#REF!="Menor"),CONCATENATE("R",'Mapa final'!#REF!),"")</f>
        <v>#REF!</v>
      </c>
      <c r="Q44" s="223"/>
      <c r="R44" s="223" t="str">
        <f>IF(AND('Mapa final'!$L$14="Muy Baja",'Mapa final'!$P$14="Menor"),CONCATENATE("R",'Mapa final'!$A$14),"")</f>
        <v/>
      </c>
      <c r="S44" s="223"/>
      <c r="T44" s="223" t="str">
        <f>IF(AND('Mapa final'!$L$16="Muy Baja",'Mapa final'!$P$16="Menor"),CONCATENATE("R",'Mapa final'!$A$16),"")</f>
        <v/>
      </c>
      <c r="U44" s="224"/>
      <c r="V44" s="231" t="e">
        <f>IF(AND('Mapa final'!#REF!="Muy Baja",'Mapa final'!#REF!="Moderado"),CONCATENATE("R",'Mapa final'!#REF!),"")</f>
        <v>#REF!</v>
      </c>
      <c r="W44" s="232"/>
      <c r="X44" s="232" t="str">
        <f>IF(AND('Mapa final'!$L$14="Muy Baja",'Mapa final'!$P$14="Moderado"),CONCATENATE("R",'Mapa final'!$A$14),"")</f>
        <v/>
      </c>
      <c r="Y44" s="232"/>
      <c r="Z44" s="232" t="str">
        <f>IF(AND('Mapa final'!$L$16="Muy Baja",'Mapa final'!$P$16="Moderado"),CONCATENATE("R",'Mapa final'!$A$16),"")</f>
        <v/>
      </c>
      <c r="AA44" s="233"/>
      <c r="AB44" s="249" t="e">
        <f>IF(AND('Mapa final'!#REF!="Muy Baja",'Mapa final'!#REF!="Mayor"),CONCATENATE("R",'Mapa final'!#REF!),"")</f>
        <v>#REF!</v>
      </c>
      <c r="AC44" s="250"/>
      <c r="AD44" s="250" t="str">
        <f>IF(AND('Mapa final'!$L$14="Muy Baja",'Mapa final'!$P$14="Mayor"),CONCATENATE("R",'Mapa final'!$A$14),"")</f>
        <v/>
      </c>
      <c r="AE44" s="250"/>
      <c r="AF44" s="250" t="str">
        <f>IF(AND('Mapa final'!$L$16="Muy Baja",'Mapa final'!$P$16="Mayor"),CONCATENATE("R",'Mapa final'!$A$16),"")</f>
        <v/>
      </c>
      <c r="AG44" s="251"/>
      <c r="AH44" s="240" t="e">
        <f>IF(AND('Mapa final'!#REF!="Muy Baja",'Mapa final'!#REF!="Catastrófico"),CONCATENATE("R",'Mapa final'!#REF!),"")</f>
        <v>#REF!</v>
      </c>
      <c r="AI44" s="241"/>
      <c r="AJ44" s="241" t="str">
        <f>IF(AND('Mapa final'!$L$14="Muy Baja",'Mapa final'!$P$14="Catastrófico"),CONCATENATE("R",'Mapa final'!$A$14),"")</f>
        <v/>
      </c>
      <c r="AK44" s="241"/>
      <c r="AL44" s="241" t="str">
        <f>IF(AND('Mapa final'!$L$16="Muy Baja",'Mapa final'!$P$16="Catastrófico"),CONCATENATE("R",'Mapa final'!$A$16),"")</f>
        <v/>
      </c>
      <c r="AM44" s="242"/>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69"/>
      <c r="C45" s="269"/>
      <c r="D45" s="270"/>
      <c r="E45" s="265"/>
      <c r="F45" s="266"/>
      <c r="G45" s="266"/>
      <c r="H45" s="266"/>
      <c r="I45" s="267"/>
      <c r="J45" s="225"/>
      <c r="K45" s="226"/>
      <c r="L45" s="226"/>
      <c r="M45" s="226"/>
      <c r="N45" s="226"/>
      <c r="O45" s="227"/>
      <c r="P45" s="225"/>
      <c r="Q45" s="226"/>
      <c r="R45" s="226"/>
      <c r="S45" s="226"/>
      <c r="T45" s="226"/>
      <c r="U45" s="227"/>
      <c r="V45" s="234"/>
      <c r="W45" s="235"/>
      <c r="X45" s="235"/>
      <c r="Y45" s="235"/>
      <c r="Z45" s="235"/>
      <c r="AA45" s="236"/>
      <c r="AB45" s="252"/>
      <c r="AC45" s="253"/>
      <c r="AD45" s="253"/>
      <c r="AE45" s="253"/>
      <c r="AF45" s="253"/>
      <c r="AG45" s="254"/>
      <c r="AH45" s="243"/>
      <c r="AI45" s="244"/>
      <c r="AJ45" s="244"/>
      <c r="AK45" s="244"/>
      <c r="AL45" s="244"/>
      <c r="AM45" s="24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59" t="s">
        <v>111</v>
      </c>
      <c r="K46" s="260"/>
      <c r="L46" s="260"/>
      <c r="M46" s="260"/>
      <c r="N46" s="260"/>
      <c r="O46" s="261"/>
      <c r="P46" s="259" t="s">
        <v>110</v>
      </c>
      <c r="Q46" s="260"/>
      <c r="R46" s="260"/>
      <c r="S46" s="260"/>
      <c r="T46" s="260"/>
      <c r="U46" s="261"/>
      <c r="V46" s="259" t="s">
        <v>109</v>
      </c>
      <c r="W46" s="260"/>
      <c r="X46" s="260"/>
      <c r="Y46" s="260"/>
      <c r="Z46" s="260"/>
      <c r="AA46" s="261"/>
      <c r="AB46" s="259" t="s">
        <v>108</v>
      </c>
      <c r="AC46" s="268"/>
      <c r="AD46" s="260"/>
      <c r="AE46" s="260"/>
      <c r="AF46" s="260"/>
      <c r="AG46" s="261"/>
      <c r="AH46" s="259" t="s">
        <v>107</v>
      </c>
      <c r="AI46" s="260"/>
      <c r="AJ46" s="260"/>
      <c r="AK46" s="260"/>
      <c r="AL46" s="260"/>
      <c r="AM46" s="261"/>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62"/>
      <c r="K47" s="263"/>
      <c r="L47" s="263"/>
      <c r="M47" s="263"/>
      <c r="N47" s="263"/>
      <c r="O47" s="264"/>
      <c r="P47" s="262"/>
      <c r="Q47" s="263"/>
      <c r="R47" s="263"/>
      <c r="S47" s="263"/>
      <c r="T47" s="263"/>
      <c r="U47" s="264"/>
      <c r="V47" s="262"/>
      <c r="W47" s="263"/>
      <c r="X47" s="263"/>
      <c r="Y47" s="263"/>
      <c r="Z47" s="263"/>
      <c r="AA47" s="264"/>
      <c r="AB47" s="262"/>
      <c r="AC47" s="263"/>
      <c r="AD47" s="263"/>
      <c r="AE47" s="263"/>
      <c r="AF47" s="263"/>
      <c r="AG47" s="264"/>
      <c r="AH47" s="262"/>
      <c r="AI47" s="263"/>
      <c r="AJ47" s="263"/>
      <c r="AK47" s="263"/>
      <c r="AL47" s="263"/>
      <c r="AM47" s="264"/>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62"/>
      <c r="K48" s="263"/>
      <c r="L48" s="263"/>
      <c r="M48" s="263"/>
      <c r="N48" s="263"/>
      <c r="O48" s="264"/>
      <c r="P48" s="262"/>
      <c r="Q48" s="263"/>
      <c r="R48" s="263"/>
      <c r="S48" s="263"/>
      <c r="T48" s="263"/>
      <c r="U48" s="264"/>
      <c r="V48" s="262"/>
      <c r="W48" s="263"/>
      <c r="X48" s="263"/>
      <c r="Y48" s="263"/>
      <c r="Z48" s="263"/>
      <c r="AA48" s="264"/>
      <c r="AB48" s="262"/>
      <c r="AC48" s="263"/>
      <c r="AD48" s="263"/>
      <c r="AE48" s="263"/>
      <c r="AF48" s="263"/>
      <c r="AG48" s="264"/>
      <c r="AH48" s="262"/>
      <c r="AI48" s="263"/>
      <c r="AJ48" s="263"/>
      <c r="AK48" s="263"/>
      <c r="AL48" s="263"/>
      <c r="AM48" s="264"/>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62"/>
      <c r="K49" s="263"/>
      <c r="L49" s="263"/>
      <c r="M49" s="263"/>
      <c r="N49" s="263"/>
      <c r="O49" s="264"/>
      <c r="P49" s="262"/>
      <c r="Q49" s="263"/>
      <c r="R49" s="263"/>
      <c r="S49" s="263"/>
      <c r="T49" s="263"/>
      <c r="U49" s="264"/>
      <c r="V49" s="262"/>
      <c r="W49" s="263"/>
      <c r="X49" s="263"/>
      <c r="Y49" s="263"/>
      <c r="Z49" s="263"/>
      <c r="AA49" s="264"/>
      <c r="AB49" s="262"/>
      <c r="AC49" s="263"/>
      <c r="AD49" s="263"/>
      <c r="AE49" s="263"/>
      <c r="AF49" s="263"/>
      <c r="AG49" s="264"/>
      <c r="AH49" s="262"/>
      <c r="AI49" s="263"/>
      <c r="AJ49" s="263"/>
      <c r="AK49" s="263"/>
      <c r="AL49" s="263"/>
      <c r="AM49" s="264"/>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62"/>
      <c r="K50" s="263"/>
      <c r="L50" s="263"/>
      <c r="M50" s="263"/>
      <c r="N50" s="263"/>
      <c r="O50" s="264"/>
      <c r="P50" s="262"/>
      <c r="Q50" s="263"/>
      <c r="R50" s="263"/>
      <c r="S50" s="263"/>
      <c r="T50" s="263"/>
      <c r="U50" s="264"/>
      <c r="V50" s="262"/>
      <c r="W50" s="263"/>
      <c r="X50" s="263"/>
      <c r="Y50" s="263"/>
      <c r="Z50" s="263"/>
      <c r="AA50" s="264"/>
      <c r="AB50" s="262"/>
      <c r="AC50" s="263"/>
      <c r="AD50" s="263"/>
      <c r="AE50" s="263"/>
      <c r="AF50" s="263"/>
      <c r="AG50" s="264"/>
      <c r="AH50" s="262"/>
      <c r="AI50" s="263"/>
      <c r="AJ50" s="263"/>
      <c r="AK50" s="263"/>
      <c r="AL50" s="263"/>
      <c r="AM50" s="264"/>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65"/>
      <c r="K51" s="266"/>
      <c r="L51" s="266"/>
      <c r="M51" s="266"/>
      <c r="N51" s="266"/>
      <c r="O51" s="267"/>
      <c r="P51" s="265"/>
      <c r="Q51" s="266"/>
      <c r="R51" s="266"/>
      <c r="S51" s="266"/>
      <c r="T51" s="266"/>
      <c r="U51" s="267"/>
      <c r="V51" s="265"/>
      <c r="W51" s="266"/>
      <c r="X51" s="266"/>
      <c r="Y51" s="266"/>
      <c r="Z51" s="266"/>
      <c r="AA51" s="267"/>
      <c r="AB51" s="265"/>
      <c r="AC51" s="266"/>
      <c r="AD51" s="266"/>
      <c r="AE51" s="266"/>
      <c r="AF51" s="266"/>
      <c r="AG51" s="267"/>
      <c r="AH51" s="265"/>
      <c r="AI51" s="266"/>
      <c r="AJ51" s="266"/>
      <c r="AK51" s="266"/>
      <c r="AL51" s="266"/>
      <c r="AM51" s="267"/>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7.42578125" customWidth="1"/>
    <col min="30" max="33" width="5.5703125" customWidth="1"/>
    <col min="34" max="34" width="8.42578125" customWidth="1"/>
    <col min="35" max="39" width="5.5703125" customWidth="1"/>
    <col min="41" max="46" width="5.570312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36" t="s">
        <v>157</v>
      </c>
      <c r="C2" s="337"/>
      <c r="D2" s="337"/>
      <c r="E2" s="337"/>
      <c r="F2" s="337"/>
      <c r="G2" s="337"/>
      <c r="H2" s="337"/>
      <c r="I2" s="337"/>
      <c r="J2" s="258" t="s">
        <v>2</v>
      </c>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37"/>
      <c r="C3" s="337"/>
      <c r="D3" s="337"/>
      <c r="E3" s="337"/>
      <c r="F3" s="337"/>
      <c r="G3" s="337"/>
      <c r="H3" s="337"/>
      <c r="I3" s="337"/>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37"/>
      <c r="C4" s="337"/>
      <c r="D4" s="337"/>
      <c r="E4" s="337"/>
      <c r="F4" s="337"/>
      <c r="G4" s="337"/>
      <c r="H4" s="337"/>
      <c r="I4" s="337"/>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69" t="s">
        <v>4</v>
      </c>
      <c r="C6" s="269"/>
      <c r="D6" s="270"/>
      <c r="E6" s="307" t="s">
        <v>115</v>
      </c>
      <c r="F6" s="308"/>
      <c r="G6" s="308"/>
      <c r="H6" s="308"/>
      <c r="I6" s="309"/>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27" t="s">
        <v>78</v>
      </c>
      <c r="AP6" s="328"/>
      <c r="AQ6" s="328"/>
      <c r="AR6" s="328"/>
      <c r="AS6" s="328"/>
      <c r="AT6" s="329"/>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69"/>
      <c r="C7" s="269"/>
      <c r="D7" s="270"/>
      <c r="E7" s="310"/>
      <c r="F7" s="311"/>
      <c r="G7" s="311"/>
      <c r="H7" s="311"/>
      <c r="I7" s="312"/>
      <c r="J7" s="44" t="str">
        <f>IF(AND('Mapa final'!$AD$11="Muy Alta",'Mapa final'!$AF$11="Leve"),CONCATENATE("R2C",'Mapa final'!$S$11),"")</f>
        <v/>
      </c>
      <c r="K7" s="45" t="str">
        <f>IF(AND('Mapa final'!$AD$13="Muy Alta",'Mapa final'!$AF$13="Leve"),CONCATENATE("R2C",'Mapa final'!$S$13),"")</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final'!$AD$13="Muy Alta",'Mapa final'!$AF$13="Menor"),CONCATENATE("R2C",'Mapa final'!$S$13),"")</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final'!$AD$13="Muy Alta",'Mapa final'!$AF$13="Moderado"),CONCATENATE("R2C",'Mapa final'!$S$13),"")</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final'!$AD$13="Muy Alta",'Mapa final'!$AF$13="Mayor"),CONCATENATE("R2C",'Mapa final'!$S$13),"")</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final'!$AD$13="Muy Alta",'Mapa final'!$AF$13="Catastrófico"),CONCATENATE("R2C",'Mapa final'!$S$13),"")</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30"/>
      <c r="AP7" s="331"/>
      <c r="AQ7" s="331"/>
      <c r="AR7" s="331"/>
      <c r="AS7" s="331"/>
      <c r="AT7" s="332"/>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69"/>
      <c r="C8" s="269"/>
      <c r="D8" s="270"/>
      <c r="E8" s="310"/>
      <c r="F8" s="311"/>
      <c r="G8" s="311"/>
      <c r="H8" s="311"/>
      <c r="I8" s="312"/>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30"/>
      <c r="AP8" s="331"/>
      <c r="AQ8" s="331"/>
      <c r="AR8" s="331"/>
      <c r="AS8" s="331"/>
      <c r="AT8" s="332"/>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69"/>
      <c r="C9" s="269"/>
      <c r="D9" s="270"/>
      <c r="E9" s="310"/>
      <c r="F9" s="311"/>
      <c r="G9" s="311"/>
      <c r="H9" s="311"/>
      <c r="I9" s="312"/>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30"/>
      <c r="AP9" s="331"/>
      <c r="AQ9" s="331"/>
      <c r="AR9" s="331"/>
      <c r="AS9" s="331"/>
      <c r="AT9" s="332"/>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69"/>
      <c r="C10" s="269"/>
      <c r="D10" s="270"/>
      <c r="E10" s="310"/>
      <c r="F10" s="311"/>
      <c r="G10" s="311"/>
      <c r="H10" s="311"/>
      <c r="I10" s="312"/>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30"/>
      <c r="AP10" s="331"/>
      <c r="AQ10" s="331"/>
      <c r="AR10" s="331"/>
      <c r="AS10" s="331"/>
      <c r="AT10" s="332"/>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69"/>
      <c r="C11" s="269"/>
      <c r="D11" s="270"/>
      <c r="E11" s="310"/>
      <c r="F11" s="311"/>
      <c r="G11" s="311"/>
      <c r="H11" s="311"/>
      <c r="I11" s="312"/>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30"/>
      <c r="AP11" s="331"/>
      <c r="AQ11" s="331"/>
      <c r="AR11" s="331"/>
      <c r="AS11" s="331"/>
      <c r="AT11" s="332"/>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69"/>
      <c r="C12" s="269"/>
      <c r="D12" s="270"/>
      <c r="E12" s="310"/>
      <c r="F12" s="311"/>
      <c r="G12" s="311"/>
      <c r="H12" s="311"/>
      <c r="I12" s="312"/>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30"/>
      <c r="AP12" s="331"/>
      <c r="AQ12" s="331"/>
      <c r="AR12" s="331"/>
      <c r="AS12" s="331"/>
      <c r="AT12" s="332"/>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69"/>
      <c r="C13" s="269"/>
      <c r="D13" s="270"/>
      <c r="E13" s="310"/>
      <c r="F13" s="311"/>
      <c r="G13" s="311"/>
      <c r="H13" s="311"/>
      <c r="I13" s="312"/>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30"/>
      <c r="AP13" s="331"/>
      <c r="AQ13" s="331"/>
      <c r="AR13" s="331"/>
      <c r="AS13" s="331"/>
      <c r="AT13" s="332"/>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69"/>
      <c r="C14" s="269"/>
      <c r="D14" s="270"/>
      <c r="E14" s="310"/>
      <c r="F14" s="311"/>
      <c r="G14" s="311"/>
      <c r="H14" s="311"/>
      <c r="I14" s="312"/>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30"/>
      <c r="AP14" s="331"/>
      <c r="AQ14" s="331"/>
      <c r="AR14" s="331"/>
      <c r="AS14" s="331"/>
      <c r="AT14" s="332"/>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69"/>
      <c r="C15" s="269"/>
      <c r="D15" s="270"/>
      <c r="E15" s="313"/>
      <c r="F15" s="314"/>
      <c r="G15" s="314"/>
      <c r="H15" s="314"/>
      <c r="I15" s="315"/>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33"/>
      <c r="AP15" s="334"/>
      <c r="AQ15" s="334"/>
      <c r="AR15" s="334"/>
      <c r="AS15" s="334"/>
      <c r="AT15" s="33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69"/>
      <c r="C16" s="269"/>
      <c r="D16" s="270"/>
      <c r="E16" s="307" t="s">
        <v>114</v>
      </c>
      <c r="F16" s="308"/>
      <c r="G16" s="308"/>
      <c r="H16" s="308"/>
      <c r="I16" s="308"/>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17" t="s">
        <v>79</v>
      </c>
      <c r="AP16" s="318"/>
      <c r="AQ16" s="318"/>
      <c r="AR16" s="318"/>
      <c r="AS16" s="318"/>
      <c r="AT16" s="319"/>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69"/>
      <c r="C17" s="269"/>
      <c r="D17" s="270"/>
      <c r="E17" s="326"/>
      <c r="F17" s="311"/>
      <c r="G17" s="311"/>
      <c r="H17" s="311"/>
      <c r="I17" s="311"/>
      <c r="J17" s="59" t="str">
        <f>IF(AND('Mapa final'!$AD$11="Alta",'Mapa final'!$AF$11="Leve"),CONCATENATE("R2C",'Mapa final'!$S$11),"")</f>
        <v/>
      </c>
      <c r="K17" s="60" t="str">
        <f>IF(AND('Mapa final'!$AD$13="Alta",'Mapa final'!$AF$13="Leve"),CONCATENATE("R2C",'Mapa final'!$S$13),"")</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final'!$AD$13="Alta",'Mapa final'!$AF$13="Menor"),CONCATENATE("R2C",'Mapa final'!$S$13),"")</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final'!$AD$13="Alta",'Mapa final'!$AF$13="Moderado"),CONCATENATE("R2C",'Mapa final'!$S$13),"")</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final'!$AD$13="Alta",'Mapa final'!$AF$13="Mayor"),CONCATENATE("R2C",'Mapa final'!$S$13),"")</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final'!$AD$13="Alta",'Mapa final'!$AF$13="Catastrófico"),CONCATENATE("R2C",'Mapa final'!$S$13),"")</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20"/>
      <c r="AP17" s="321"/>
      <c r="AQ17" s="321"/>
      <c r="AR17" s="321"/>
      <c r="AS17" s="321"/>
      <c r="AT17" s="322"/>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69"/>
      <c r="C18" s="269"/>
      <c r="D18" s="270"/>
      <c r="E18" s="310"/>
      <c r="F18" s="311"/>
      <c r="G18" s="311"/>
      <c r="H18" s="311"/>
      <c r="I18" s="311"/>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20"/>
      <c r="AP18" s="321"/>
      <c r="AQ18" s="321"/>
      <c r="AR18" s="321"/>
      <c r="AS18" s="321"/>
      <c r="AT18" s="322"/>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69"/>
      <c r="C19" s="269"/>
      <c r="D19" s="270"/>
      <c r="E19" s="310"/>
      <c r="F19" s="311"/>
      <c r="G19" s="311"/>
      <c r="H19" s="311"/>
      <c r="I19" s="311"/>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20"/>
      <c r="AP19" s="321"/>
      <c r="AQ19" s="321"/>
      <c r="AR19" s="321"/>
      <c r="AS19" s="321"/>
      <c r="AT19" s="322"/>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69"/>
      <c r="C20" s="269"/>
      <c r="D20" s="270"/>
      <c r="E20" s="310"/>
      <c r="F20" s="311"/>
      <c r="G20" s="311"/>
      <c r="H20" s="311"/>
      <c r="I20" s="311"/>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20"/>
      <c r="AP20" s="321"/>
      <c r="AQ20" s="321"/>
      <c r="AR20" s="321"/>
      <c r="AS20" s="321"/>
      <c r="AT20" s="322"/>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69"/>
      <c r="C21" s="269"/>
      <c r="D21" s="270"/>
      <c r="E21" s="310"/>
      <c r="F21" s="311"/>
      <c r="G21" s="311"/>
      <c r="H21" s="311"/>
      <c r="I21" s="311"/>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20"/>
      <c r="AP21" s="321"/>
      <c r="AQ21" s="321"/>
      <c r="AR21" s="321"/>
      <c r="AS21" s="321"/>
      <c r="AT21" s="322"/>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69"/>
      <c r="C22" s="269"/>
      <c r="D22" s="270"/>
      <c r="E22" s="310"/>
      <c r="F22" s="311"/>
      <c r="G22" s="311"/>
      <c r="H22" s="311"/>
      <c r="I22" s="311"/>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20"/>
      <c r="AP22" s="321"/>
      <c r="AQ22" s="321"/>
      <c r="AR22" s="321"/>
      <c r="AS22" s="321"/>
      <c r="AT22" s="322"/>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69"/>
      <c r="C23" s="269"/>
      <c r="D23" s="270"/>
      <c r="E23" s="310"/>
      <c r="F23" s="311"/>
      <c r="G23" s="311"/>
      <c r="H23" s="311"/>
      <c r="I23" s="311"/>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20"/>
      <c r="AP23" s="321"/>
      <c r="AQ23" s="321"/>
      <c r="AR23" s="321"/>
      <c r="AS23" s="321"/>
      <c r="AT23" s="322"/>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69"/>
      <c r="C24" s="269"/>
      <c r="D24" s="270"/>
      <c r="E24" s="310"/>
      <c r="F24" s="311"/>
      <c r="G24" s="311"/>
      <c r="H24" s="311"/>
      <c r="I24" s="311"/>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20"/>
      <c r="AP24" s="321"/>
      <c r="AQ24" s="321"/>
      <c r="AR24" s="321"/>
      <c r="AS24" s="321"/>
      <c r="AT24" s="322"/>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69"/>
      <c r="C25" s="269"/>
      <c r="D25" s="270"/>
      <c r="E25" s="313"/>
      <c r="F25" s="314"/>
      <c r="G25" s="314"/>
      <c r="H25" s="314"/>
      <c r="I25" s="314"/>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23"/>
      <c r="AP25" s="324"/>
      <c r="AQ25" s="324"/>
      <c r="AR25" s="324"/>
      <c r="AS25" s="324"/>
      <c r="AT25" s="32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69"/>
      <c r="C26" s="269"/>
      <c r="D26" s="270"/>
      <c r="E26" s="307" t="s">
        <v>116</v>
      </c>
      <c r="F26" s="308"/>
      <c r="G26" s="308"/>
      <c r="H26" s="308"/>
      <c r="I26" s="309"/>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47" t="s">
        <v>80</v>
      </c>
      <c r="AP26" s="348"/>
      <c r="AQ26" s="348"/>
      <c r="AR26" s="348"/>
      <c r="AS26" s="348"/>
      <c r="AT26" s="349"/>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69"/>
      <c r="C27" s="269"/>
      <c r="D27" s="270"/>
      <c r="E27" s="326"/>
      <c r="F27" s="311"/>
      <c r="G27" s="311"/>
      <c r="H27" s="311"/>
      <c r="I27" s="312"/>
      <c r="J27" s="59" t="str">
        <f>IF(AND('Mapa final'!$AD$11="Media",'Mapa final'!$AF$11="Leve"),CONCATENATE("R2C",'Mapa final'!$S$11),"")</f>
        <v/>
      </c>
      <c r="K27" s="60" t="str">
        <f>IF(AND('Mapa final'!$AD$13="Media",'Mapa final'!$AF$13="Leve"),CONCATENATE("R2C",'Mapa final'!$S$13),"")</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
      </c>
      <c r="Q27" s="60" t="str">
        <f>IF(AND('Mapa final'!$AD$13="Media",'Mapa final'!$AF$13="Menor"),CONCATENATE("R2C",'Mapa final'!$S$13),"")</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final'!$AD$13="Media",'Mapa final'!$AF$13="Moderado"),CONCATENATE("R2C",'Mapa final'!$S$13),"")</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final'!$AD$13="Media",'Mapa final'!$AF$13="Mayor"),CONCATENATE("R2C",'Mapa final'!$S$13),"")</f>
        <v>R2C2</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final'!$AD$13="Media",'Mapa final'!$AF$13="Catastrófico"),CONCATENATE("R2C",'Mapa final'!$S$13),"")</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50"/>
      <c r="AP27" s="351"/>
      <c r="AQ27" s="351"/>
      <c r="AR27" s="351"/>
      <c r="AS27" s="351"/>
      <c r="AT27" s="352"/>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69"/>
      <c r="C28" s="269"/>
      <c r="D28" s="270"/>
      <c r="E28" s="310"/>
      <c r="F28" s="311"/>
      <c r="G28" s="311"/>
      <c r="H28" s="311"/>
      <c r="I28" s="312"/>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50"/>
      <c r="AP28" s="351"/>
      <c r="AQ28" s="351"/>
      <c r="AR28" s="351"/>
      <c r="AS28" s="351"/>
      <c r="AT28" s="352"/>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69"/>
      <c r="C29" s="269"/>
      <c r="D29" s="270"/>
      <c r="E29" s="310"/>
      <c r="F29" s="311"/>
      <c r="G29" s="311"/>
      <c r="H29" s="311"/>
      <c r="I29" s="312"/>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50"/>
      <c r="AP29" s="351"/>
      <c r="AQ29" s="351"/>
      <c r="AR29" s="351"/>
      <c r="AS29" s="351"/>
      <c r="AT29" s="352"/>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69"/>
      <c r="C30" s="269"/>
      <c r="D30" s="270"/>
      <c r="E30" s="310"/>
      <c r="F30" s="311"/>
      <c r="G30" s="311"/>
      <c r="H30" s="311"/>
      <c r="I30" s="312"/>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50"/>
      <c r="AP30" s="351"/>
      <c r="AQ30" s="351"/>
      <c r="AR30" s="351"/>
      <c r="AS30" s="351"/>
      <c r="AT30" s="352"/>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69"/>
      <c r="C31" s="269"/>
      <c r="D31" s="270"/>
      <c r="E31" s="310"/>
      <c r="F31" s="311"/>
      <c r="G31" s="311"/>
      <c r="H31" s="311"/>
      <c r="I31" s="312"/>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50"/>
      <c r="AP31" s="351"/>
      <c r="AQ31" s="351"/>
      <c r="AR31" s="351"/>
      <c r="AS31" s="351"/>
      <c r="AT31" s="352"/>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69"/>
      <c r="C32" s="269"/>
      <c r="D32" s="270"/>
      <c r="E32" s="310"/>
      <c r="F32" s="311"/>
      <c r="G32" s="311"/>
      <c r="H32" s="311"/>
      <c r="I32" s="312"/>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50"/>
      <c r="AP32" s="351"/>
      <c r="AQ32" s="351"/>
      <c r="AR32" s="351"/>
      <c r="AS32" s="351"/>
      <c r="AT32" s="352"/>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69"/>
      <c r="C33" s="269"/>
      <c r="D33" s="270"/>
      <c r="E33" s="310"/>
      <c r="F33" s="311"/>
      <c r="G33" s="311"/>
      <c r="H33" s="311"/>
      <c r="I33" s="312"/>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50"/>
      <c r="AP33" s="351"/>
      <c r="AQ33" s="351"/>
      <c r="AR33" s="351"/>
      <c r="AS33" s="351"/>
      <c r="AT33" s="352"/>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69"/>
      <c r="C34" s="269"/>
      <c r="D34" s="270"/>
      <c r="E34" s="310"/>
      <c r="F34" s="311"/>
      <c r="G34" s="311"/>
      <c r="H34" s="311"/>
      <c r="I34" s="312"/>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50"/>
      <c r="AP34" s="351"/>
      <c r="AQ34" s="351"/>
      <c r="AR34" s="351"/>
      <c r="AS34" s="351"/>
      <c r="AT34" s="352"/>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69"/>
      <c r="C35" s="269"/>
      <c r="D35" s="270"/>
      <c r="E35" s="313"/>
      <c r="F35" s="314"/>
      <c r="G35" s="314"/>
      <c r="H35" s="314"/>
      <c r="I35" s="315"/>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53"/>
      <c r="AP35" s="354"/>
      <c r="AQ35" s="354"/>
      <c r="AR35" s="354"/>
      <c r="AS35" s="354"/>
      <c r="AT35" s="35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69"/>
      <c r="C36" s="269"/>
      <c r="D36" s="270"/>
      <c r="E36" s="307" t="s">
        <v>113</v>
      </c>
      <c r="F36" s="308"/>
      <c r="G36" s="308"/>
      <c r="H36" s="308"/>
      <c r="I36" s="308"/>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38" t="s">
        <v>81</v>
      </c>
      <c r="AP36" s="339"/>
      <c r="AQ36" s="339"/>
      <c r="AR36" s="339"/>
      <c r="AS36" s="339"/>
      <c r="AT36" s="340"/>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69"/>
      <c r="C37" s="269"/>
      <c r="D37" s="270"/>
      <c r="E37" s="326"/>
      <c r="F37" s="311"/>
      <c r="G37" s="311"/>
      <c r="H37" s="311"/>
      <c r="I37" s="311"/>
      <c r="J37" s="68" t="str">
        <f>IF(AND('Mapa final'!$AD$11="Baja",'Mapa final'!$AF$11="Leve"),CONCATENATE("R2C",'Mapa final'!$S$11),"")</f>
        <v/>
      </c>
      <c r="K37" s="69" t="str">
        <f>IF(AND('Mapa final'!$AD$13="Baja",'Mapa final'!$AF$13="Leve"),CONCATENATE("R2C",'Mapa final'!$S$13),"")</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
      </c>
      <c r="Q37" s="60" t="str">
        <f>IF(AND('Mapa final'!$AD$13="Baja",'Mapa final'!$AF$13="Menor"),CONCATENATE("R2C",'Mapa final'!$S$13),"")</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
      </c>
      <c r="W37" s="60" t="str">
        <f>IF(AND('Mapa final'!$AD$13="Baja",'Mapa final'!$AF$13="Moderado"),CONCATENATE("R2C",'Mapa final'!$S$13),"")</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final'!$AD$13="Baja",'Mapa final'!$AF$13="Mayor"),CONCATENATE("R2C",'Mapa final'!$S$13),"")</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final'!$AD$13="Baja",'Mapa final'!$AF$13="Catastrófico"),CONCATENATE("R2C",'Mapa final'!$S$13),"")</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41"/>
      <c r="AP37" s="342"/>
      <c r="AQ37" s="342"/>
      <c r="AR37" s="342"/>
      <c r="AS37" s="342"/>
      <c r="AT37" s="343"/>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69"/>
      <c r="C38" s="269"/>
      <c r="D38" s="270"/>
      <c r="E38" s="310"/>
      <c r="F38" s="311"/>
      <c r="G38" s="311"/>
      <c r="H38" s="311"/>
      <c r="I38" s="311"/>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41"/>
      <c r="AP38" s="342"/>
      <c r="AQ38" s="342"/>
      <c r="AR38" s="342"/>
      <c r="AS38" s="342"/>
      <c r="AT38" s="343"/>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69"/>
      <c r="C39" s="269"/>
      <c r="D39" s="270"/>
      <c r="E39" s="310"/>
      <c r="F39" s="311"/>
      <c r="G39" s="311"/>
      <c r="H39" s="311"/>
      <c r="I39" s="311"/>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41"/>
      <c r="AP39" s="342"/>
      <c r="AQ39" s="342"/>
      <c r="AR39" s="342"/>
      <c r="AS39" s="342"/>
      <c r="AT39" s="343"/>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69"/>
      <c r="C40" s="269"/>
      <c r="D40" s="270"/>
      <c r="E40" s="310"/>
      <c r="F40" s="311"/>
      <c r="G40" s="311"/>
      <c r="H40" s="311"/>
      <c r="I40" s="311"/>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41"/>
      <c r="AP40" s="342"/>
      <c r="AQ40" s="342"/>
      <c r="AR40" s="342"/>
      <c r="AS40" s="342"/>
      <c r="AT40" s="343"/>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69"/>
      <c r="C41" s="269"/>
      <c r="D41" s="270"/>
      <c r="E41" s="310"/>
      <c r="F41" s="311"/>
      <c r="G41" s="311"/>
      <c r="H41" s="311"/>
      <c r="I41" s="311"/>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41"/>
      <c r="AP41" s="342"/>
      <c r="AQ41" s="342"/>
      <c r="AR41" s="342"/>
      <c r="AS41" s="342"/>
      <c r="AT41" s="343"/>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69"/>
      <c r="C42" s="269"/>
      <c r="D42" s="270"/>
      <c r="E42" s="310"/>
      <c r="F42" s="311"/>
      <c r="G42" s="311"/>
      <c r="H42" s="311"/>
      <c r="I42" s="311"/>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41"/>
      <c r="AP42" s="342"/>
      <c r="AQ42" s="342"/>
      <c r="AR42" s="342"/>
      <c r="AS42" s="342"/>
      <c r="AT42" s="343"/>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69"/>
      <c r="C43" s="269"/>
      <c r="D43" s="270"/>
      <c r="E43" s="310"/>
      <c r="F43" s="311"/>
      <c r="G43" s="311"/>
      <c r="H43" s="311"/>
      <c r="I43" s="311"/>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41"/>
      <c r="AP43" s="342"/>
      <c r="AQ43" s="342"/>
      <c r="AR43" s="342"/>
      <c r="AS43" s="342"/>
      <c r="AT43" s="343"/>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69"/>
      <c r="C44" s="269"/>
      <c r="D44" s="270"/>
      <c r="E44" s="310"/>
      <c r="F44" s="311"/>
      <c r="G44" s="311"/>
      <c r="H44" s="311"/>
      <c r="I44" s="311"/>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41"/>
      <c r="AP44" s="342"/>
      <c r="AQ44" s="342"/>
      <c r="AR44" s="342"/>
      <c r="AS44" s="342"/>
      <c r="AT44" s="343"/>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69"/>
      <c r="C45" s="269"/>
      <c r="D45" s="270"/>
      <c r="E45" s="313"/>
      <c r="F45" s="314"/>
      <c r="G45" s="314"/>
      <c r="H45" s="314"/>
      <c r="I45" s="314"/>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44"/>
      <c r="AP45" s="345"/>
      <c r="AQ45" s="345"/>
      <c r="AR45" s="345"/>
      <c r="AS45" s="345"/>
      <c r="AT45" s="346"/>
    </row>
    <row r="46" spans="1:80" ht="46.5" customHeight="1" x14ac:dyDescent="0.35">
      <c r="A46" s="75"/>
      <c r="B46" s="269"/>
      <c r="C46" s="269"/>
      <c r="D46" s="270"/>
      <c r="E46" s="307" t="s">
        <v>112</v>
      </c>
      <c r="F46" s="308"/>
      <c r="G46" s="308"/>
      <c r="H46" s="308"/>
      <c r="I46" s="309"/>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69"/>
      <c r="C47" s="269"/>
      <c r="D47" s="270"/>
      <c r="E47" s="326"/>
      <c r="F47" s="311"/>
      <c r="G47" s="311"/>
      <c r="H47" s="311"/>
      <c r="I47" s="312"/>
      <c r="J47" s="68" t="str">
        <f>IF(AND('Mapa final'!$AD$11="Muy Baja",'Mapa final'!$AF$11="Leve"),CONCATENATE("R2C",'Mapa final'!$S$11),"")</f>
        <v/>
      </c>
      <c r="K47" s="69" t="str">
        <f>IF(AND('Mapa final'!$AD$13="Muy Baja",'Mapa final'!$AF$13="Leve"),CONCATENATE("R2C",'Mapa final'!$S$13),"")</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final'!$AD$13="Muy Baja",'Mapa final'!$AF$13="Menor"),CONCATENATE("R2C",'Mapa final'!$S$13),"")</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
      </c>
      <c r="W47" s="60" t="str">
        <f>IF(AND('Mapa final'!$AD$13="Muy Baja",'Mapa final'!$AF$13="Moderado"),CONCATENATE("R2C",'Mapa final'!$S$13),"")</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R2C1</v>
      </c>
      <c r="AC47" s="45" t="str">
        <f>IF(AND('Mapa final'!$AD$13="Muy Baja",'Mapa final'!$AF$13="Mayor"),CONCATENATE("R2C",'Mapa final'!$S$13),"")</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
      </c>
      <c r="AI47" s="48" t="str">
        <f>IF(AND('Mapa final'!$AD$13="Muy Baja",'Mapa final'!$AF$13="Catastrófico"),CONCATENATE("R2C",'Mapa final'!$S$13),"")</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69"/>
      <c r="C48" s="269"/>
      <c r="D48" s="270"/>
      <c r="E48" s="326"/>
      <c r="F48" s="311"/>
      <c r="G48" s="311"/>
      <c r="H48" s="311"/>
      <c r="I48" s="312"/>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69"/>
      <c r="C49" s="269"/>
      <c r="D49" s="270"/>
      <c r="E49" s="310"/>
      <c r="F49" s="311"/>
      <c r="G49" s="311"/>
      <c r="H49" s="311"/>
      <c r="I49" s="312"/>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69"/>
      <c r="C50" s="269"/>
      <c r="D50" s="270"/>
      <c r="E50" s="310"/>
      <c r="F50" s="311"/>
      <c r="G50" s="311"/>
      <c r="H50" s="311"/>
      <c r="I50" s="312"/>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69"/>
      <c r="C51" s="269"/>
      <c r="D51" s="270"/>
      <c r="E51" s="310"/>
      <c r="F51" s="311"/>
      <c r="G51" s="311"/>
      <c r="H51" s="311"/>
      <c r="I51" s="312"/>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69"/>
      <c r="C52" s="269"/>
      <c r="D52" s="270"/>
      <c r="E52" s="310"/>
      <c r="F52" s="311"/>
      <c r="G52" s="311"/>
      <c r="H52" s="311"/>
      <c r="I52" s="312"/>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69"/>
      <c r="C53" s="269"/>
      <c r="D53" s="270"/>
      <c r="E53" s="310"/>
      <c r="F53" s="311"/>
      <c r="G53" s="311"/>
      <c r="H53" s="311"/>
      <c r="I53" s="312"/>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69"/>
      <c r="C54" s="269"/>
      <c r="D54" s="270"/>
      <c r="E54" s="310"/>
      <c r="F54" s="311"/>
      <c r="G54" s="311"/>
      <c r="H54" s="311"/>
      <c r="I54" s="312"/>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69"/>
      <c r="C55" s="269"/>
      <c r="D55" s="270"/>
      <c r="E55" s="313"/>
      <c r="F55" s="314"/>
      <c r="G55" s="314"/>
      <c r="H55" s="314"/>
      <c r="I55" s="315"/>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07" t="s">
        <v>111</v>
      </c>
      <c r="K56" s="308"/>
      <c r="L56" s="308"/>
      <c r="M56" s="308"/>
      <c r="N56" s="308"/>
      <c r="O56" s="309"/>
      <c r="P56" s="307" t="s">
        <v>110</v>
      </c>
      <c r="Q56" s="308"/>
      <c r="R56" s="308"/>
      <c r="S56" s="308"/>
      <c r="T56" s="308"/>
      <c r="U56" s="309"/>
      <c r="V56" s="307" t="s">
        <v>109</v>
      </c>
      <c r="W56" s="308"/>
      <c r="X56" s="308"/>
      <c r="Y56" s="308"/>
      <c r="Z56" s="308"/>
      <c r="AA56" s="309"/>
      <c r="AB56" s="307" t="s">
        <v>108</v>
      </c>
      <c r="AC56" s="316"/>
      <c r="AD56" s="308"/>
      <c r="AE56" s="308"/>
      <c r="AF56" s="308"/>
      <c r="AG56" s="309"/>
      <c r="AH56" s="307" t="s">
        <v>107</v>
      </c>
      <c r="AI56" s="308"/>
      <c r="AJ56" s="308"/>
      <c r="AK56" s="308"/>
      <c r="AL56" s="308"/>
      <c r="AM56" s="309"/>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10"/>
      <c r="K57" s="311"/>
      <c r="L57" s="311"/>
      <c r="M57" s="311"/>
      <c r="N57" s="311"/>
      <c r="O57" s="312"/>
      <c r="P57" s="310"/>
      <c r="Q57" s="311"/>
      <c r="R57" s="311"/>
      <c r="S57" s="311"/>
      <c r="T57" s="311"/>
      <c r="U57" s="312"/>
      <c r="V57" s="310"/>
      <c r="W57" s="311"/>
      <c r="X57" s="311"/>
      <c r="Y57" s="311"/>
      <c r="Z57" s="311"/>
      <c r="AA57" s="312"/>
      <c r="AB57" s="310"/>
      <c r="AC57" s="311"/>
      <c r="AD57" s="311"/>
      <c r="AE57" s="311"/>
      <c r="AF57" s="311"/>
      <c r="AG57" s="312"/>
      <c r="AH57" s="310"/>
      <c r="AI57" s="311"/>
      <c r="AJ57" s="311"/>
      <c r="AK57" s="311"/>
      <c r="AL57" s="311"/>
      <c r="AM57" s="312"/>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10"/>
      <c r="K58" s="311"/>
      <c r="L58" s="311"/>
      <c r="M58" s="311"/>
      <c r="N58" s="311"/>
      <c r="O58" s="312"/>
      <c r="P58" s="310"/>
      <c r="Q58" s="311"/>
      <c r="R58" s="311"/>
      <c r="S58" s="311"/>
      <c r="T58" s="311"/>
      <c r="U58" s="312"/>
      <c r="V58" s="310"/>
      <c r="W58" s="311"/>
      <c r="X58" s="311"/>
      <c r="Y58" s="311"/>
      <c r="Z58" s="311"/>
      <c r="AA58" s="312"/>
      <c r="AB58" s="310"/>
      <c r="AC58" s="311"/>
      <c r="AD58" s="311"/>
      <c r="AE58" s="311"/>
      <c r="AF58" s="311"/>
      <c r="AG58" s="312"/>
      <c r="AH58" s="310"/>
      <c r="AI58" s="311"/>
      <c r="AJ58" s="311"/>
      <c r="AK58" s="311"/>
      <c r="AL58" s="311"/>
      <c r="AM58" s="312"/>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10"/>
      <c r="K59" s="311"/>
      <c r="L59" s="311"/>
      <c r="M59" s="311"/>
      <c r="N59" s="311"/>
      <c r="O59" s="312"/>
      <c r="P59" s="310"/>
      <c r="Q59" s="311"/>
      <c r="R59" s="311"/>
      <c r="S59" s="311"/>
      <c r="T59" s="311"/>
      <c r="U59" s="312"/>
      <c r="V59" s="310"/>
      <c r="W59" s="311"/>
      <c r="X59" s="311"/>
      <c r="Y59" s="311"/>
      <c r="Z59" s="311"/>
      <c r="AA59" s="312"/>
      <c r="AB59" s="310"/>
      <c r="AC59" s="311"/>
      <c r="AD59" s="311"/>
      <c r="AE59" s="311"/>
      <c r="AF59" s="311"/>
      <c r="AG59" s="312"/>
      <c r="AH59" s="310"/>
      <c r="AI59" s="311"/>
      <c r="AJ59" s="311"/>
      <c r="AK59" s="311"/>
      <c r="AL59" s="311"/>
      <c r="AM59" s="312"/>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10"/>
      <c r="K60" s="311"/>
      <c r="L60" s="311"/>
      <c r="M60" s="311"/>
      <c r="N60" s="311"/>
      <c r="O60" s="312"/>
      <c r="P60" s="310"/>
      <c r="Q60" s="311"/>
      <c r="R60" s="311"/>
      <c r="S60" s="311"/>
      <c r="T60" s="311"/>
      <c r="U60" s="312"/>
      <c r="V60" s="310"/>
      <c r="W60" s="311"/>
      <c r="X60" s="311"/>
      <c r="Y60" s="311"/>
      <c r="Z60" s="311"/>
      <c r="AA60" s="312"/>
      <c r="AB60" s="310"/>
      <c r="AC60" s="311"/>
      <c r="AD60" s="311"/>
      <c r="AE60" s="311"/>
      <c r="AF60" s="311"/>
      <c r="AG60" s="312"/>
      <c r="AH60" s="310"/>
      <c r="AI60" s="311"/>
      <c r="AJ60" s="311"/>
      <c r="AK60" s="311"/>
      <c r="AL60" s="311"/>
      <c r="AM60" s="312"/>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13"/>
      <c r="K61" s="314"/>
      <c r="L61" s="314"/>
      <c r="M61" s="314"/>
      <c r="N61" s="314"/>
      <c r="O61" s="315"/>
      <c r="P61" s="313"/>
      <c r="Q61" s="314"/>
      <c r="R61" s="314"/>
      <c r="S61" s="314"/>
      <c r="T61" s="314"/>
      <c r="U61" s="315"/>
      <c r="V61" s="313"/>
      <c r="W61" s="314"/>
      <c r="X61" s="314"/>
      <c r="Y61" s="314"/>
      <c r="Z61" s="314"/>
      <c r="AA61" s="315"/>
      <c r="AB61" s="313"/>
      <c r="AC61" s="314"/>
      <c r="AD61" s="314"/>
      <c r="AE61" s="314"/>
      <c r="AF61" s="314"/>
      <c r="AG61" s="315"/>
      <c r="AH61" s="313"/>
      <c r="AI61" s="314"/>
      <c r="AJ61" s="314"/>
      <c r="AK61" s="314"/>
      <c r="AL61" s="314"/>
      <c r="AM61" s="31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5"/>
      <c r="B1" s="356" t="s">
        <v>54</v>
      </c>
      <c r="C1" s="356"/>
      <c r="D1" s="356"/>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75"/>
      <c r="B1" s="357" t="s">
        <v>62</v>
      </c>
      <c r="C1" s="357"/>
      <c r="D1" s="357"/>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42578125" defaultRowHeight="12.75" x14ac:dyDescent="0.2"/>
  <cols>
    <col min="1" max="2" width="14.42578125" style="80"/>
    <col min="3" max="3" width="17" style="80" customWidth="1"/>
    <col min="4" max="4" width="14.42578125" style="80"/>
    <col min="5" max="5" width="46" style="80" customWidth="1"/>
    <col min="6" max="16384" width="14.42578125" style="80"/>
  </cols>
  <sheetData>
    <row r="1" spans="2:6" ht="24" customHeight="1" thickBot="1" x14ac:dyDescent="0.25">
      <c r="B1" s="358" t="s">
        <v>77</v>
      </c>
      <c r="C1" s="359"/>
      <c r="D1" s="359"/>
      <c r="E1" s="359"/>
      <c r="F1" s="360"/>
    </row>
    <row r="2" spans="2:6" ht="16.5" thickBot="1" x14ac:dyDescent="0.3">
      <c r="B2" s="81"/>
      <c r="C2" s="81"/>
      <c r="D2" s="81"/>
      <c r="E2" s="81"/>
      <c r="F2" s="81"/>
    </row>
    <row r="3" spans="2:6" ht="16.5" thickBot="1" x14ac:dyDescent="0.25">
      <c r="B3" s="362" t="s">
        <v>63</v>
      </c>
      <c r="C3" s="363"/>
      <c r="D3" s="363"/>
      <c r="E3" s="93" t="s">
        <v>64</v>
      </c>
      <c r="F3" s="94" t="s">
        <v>65</v>
      </c>
    </row>
    <row r="4" spans="2:6" ht="31.5" x14ac:dyDescent="0.2">
      <c r="B4" s="364" t="s">
        <v>66</v>
      </c>
      <c r="C4" s="366" t="s">
        <v>13</v>
      </c>
      <c r="D4" s="82" t="s">
        <v>14</v>
      </c>
      <c r="E4" s="83" t="s">
        <v>67</v>
      </c>
      <c r="F4" s="84">
        <v>0.25</v>
      </c>
    </row>
    <row r="5" spans="2:6" ht="47.25" x14ac:dyDescent="0.2">
      <c r="B5" s="365"/>
      <c r="C5" s="367"/>
      <c r="D5" s="85" t="s">
        <v>15</v>
      </c>
      <c r="E5" s="86" t="s">
        <v>68</v>
      </c>
      <c r="F5" s="87">
        <v>0.15</v>
      </c>
    </row>
    <row r="6" spans="2:6" ht="47.25" x14ac:dyDescent="0.2">
      <c r="B6" s="365"/>
      <c r="C6" s="367"/>
      <c r="D6" s="85" t="s">
        <v>16</v>
      </c>
      <c r="E6" s="86" t="s">
        <v>69</v>
      </c>
      <c r="F6" s="87">
        <v>0.1</v>
      </c>
    </row>
    <row r="7" spans="2:6" ht="63" x14ac:dyDescent="0.2">
      <c r="B7" s="365"/>
      <c r="C7" s="367" t="s">
        <v>17</v>
      </c>
      <c r="D7" s="85" t="s">
        <v>10</v>
      </c>
      <c r="E7" s="86" t="s">
        <v>70</v>
      </c>
      <c r="F7" s="87">
        <v>0.25</v>
      </c>
    </row>
    <row r="8" spans="2:6" ht="31.5" x14ac:dyDescent="0.2">
      <c r="B8" s="365"/>
      <c r="C8" s="367"/>
      <c r="D8" s="85" t="s">
        <v>9</v>
      </c>
      <c r="E8" s="86" t="s">
        <v>71</v>
      </c>
      <c r="F8" s="87">
        <v>0.15</v>
      </c>
    </row>
    <row r="9" spans="2:6" ht="47.25" x14ac:dyDescent="0.2">
      <c r="B9" s="365" t="s">
        <v>159</v>
      </c>
      <c r="C9" s="367" t="s">
        <v>18</v>
      </c>
      <c r="D9" s="85" t="s">
        <v>19</v>
      </c>
      <c r="E9" s="86" t="s">
        <v>72</v>
      </c>
      <c r="F9" s="88" t="s">
        <v>73</v>
      </c>
    </row>
    <row r="10" spans="2:6" ht="63" x14ac:dyDescent="0.2">
      <c r="B10" s="365"/>
      <c r="C10" s="367"/>
      <c r="D10" s="85" t="s">
        <v>20</v>
      </c>
      <c r="E10" s="86" t="s">
        <v>74</v>
      </c>
      <c r="F10" s="88" t="s">
        <v>73</v>
      </c>
    </row>
    <row r="11" spans="2:6" ht="47.25" x14ac:dyDescent="0.2">
      <c r="B11" s="365"/>
      <c r="C11" s="367" t="s">
        <v>21</v>
      </c>
      <c r="D11" s="85" t="s">
        <v>22</v>
      </c>
      <c r="E11" s="86" t="s">
        <v>75</v>
      </c>
      <c r="F11" s="88" t="s">
        <v>73</v>
      </c>
    </row>
    <row r="12" spans="2:6" ht="47.25" x14ac:dyDescent="0.2">
      <c r="B12" s="365"/>
      <c r="C12" s="367"/>
      <c r="D12" s="85" t="s">
        <v>23</v>
      </c>
      <c r="E12" s="86" t="s">
        <v>76</v>
      </c>
      <c r="F12" s="88" t="s">
        <v>73</v>
      </c>
    </row>
    <row r="13" spans="2:6" ht="31.5" x14ac:dyDescent="0.2">
      <c r="B13" s="365"/>
      <c r="C13" s="367" t="s">
        <v>24</v>
      </c>
      <c r="D13" s="85" t="s">
        <v>118</v>
      </c>
      <c r="E13" s="86" t="s">
        <v>121</v>
      </c>
      <c r="F13" s="88" t="s">
        <v>73</v>
      </c>
    </row>
    <row r="14" spans="2:6" ht="32.25" thickBot="1" x14ac:dyDescent="0.25">
      <c r="B14" s="368"/>
      <c r="C14" s="369"/>
      <c r="D14" s="89" t="s">
        <v>119</v>
      </c>
      <c r="E14" s="90" t="s">
        <v>120</v>
      </c>
      <c r="F14" s="91" t="s">
        <v>73</v>
      </c>
    </row>
    <row r="15" spans="2:6" ht="49.5" customHeight="1" x14ac:dyDescent="0.2">
      <c r="B15" s="361" t="s">
        <v>156</v>
      </c>
      <c r="C15" s="361"/>
      <c r="D15" s="361"/>
      <c r="E15" s="361"/>
      <c r="F15" s="361"/>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C1F21C6993B14A8B53F261172598CF" ma:contentTypeVersion="12" ma:contentTypeDescription="Create a new document." ma:contentTypeScope="" ma:versionID="2283c9a22e7d51dcc4ce9ce11d898f9f">
  <xsd:schema xmlns:xsd="http://www.w3.org/2001/XMLSchema" xmlns:xs="http://www.w3.org/2001/XMLSchema" xmlns:p="http://schemas.microsoft.com/office/2006/metadata/properties" xmlns:ns3="1127acbe-e978-470f-969f-333cb0dcd145" xmlns:ns4="b55ffc4c-b392-4610-b856-514911c59727" targetNamespace="http://schemas.microsoft.com/office/2006/metadata/properties" ma:root="true" ma:fieldsID="67ee3f37c04cf7cd8c2ba8a105d54741" ns3:_="" ns4:_="">
    <xsd:import namespace="1127acbe-e978-470f-969f-333cb0dcd145"/>
    <xsd:import namespace="b55ffc4c-b392-4610-b856-514911c597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7acbe-e978-470f-969f-333cb0dcd14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ffc4c-b392-4610-b856-514911c597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3C8766-07AA-4FD0-A0D3-2943F0F887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7acbe-e978-470f-969f-333cb0dcd145"/>
    <ds:schemaRef ds:uri="b55ffc4c-b392-4610-b856-514911c59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622A6F-BF6A-40B3-877E-9C20487088A5}">
  <ds:schemaRefs>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b55ffc4c-b392-4610-b856-514911c59727"/>
    <ds:schemaRef ds:uri="1127acbe-e978-470f-969f-333cb0dcd145"/>
    <ds:schemaRef ds:uri="http://purl.org/dc/dcmitype/"/>
  </ds:schemaRefs>
</ds:datastoreItem>
</file>

<file path=customXml/itemProps3.xml><?xml version="1.0" encoding="utf-8"?>
<ds:datastoreItem xmlns:ds="http://schemas.openxmlformats.org/officeDocument/2006/customXml" ds:itemID="{0E19A554-A35D-4BB5-85D8-9EE1372B24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Marcela Cordoba Vargas</cp:lastModifiedBy>
  <cp:lastPrinted>2020-05-13T01:12:22Z</cp:lastPrinted>
  <dcterms:created xsi:type="dcterms:W3CDTF">2020-03-24T23:12:47Z</dcterms:created>
  <dcterms:modified xsi:type="dcterms:W3CDTF">2022-12-14T22:59:30Z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0x01010013C1F21C6993B14A8B53F261172598CF</vt:lpwstr>
  </property>
</Properties>
</file>