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120" yWindow="-120" windowWidth="20730" windowHeight="11040" tabRatio="882" firstSheet="1"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62913"/>
  <pivotCaches>
    <pivotCache cacheId="2"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M12" i="1" s="1"/>
  <c r="O12" i="1"/>
  <c r="P12" i="1" s="1"/>
  <c r="V12" i="1"/>
  <c r="Y12" i="1"/>
  <c r="Y14" i="1"/>
  <c r="V14" i="1"/>
  <c r="AC14" i="1" s="1"/>
  <c r="L14" i="1"/>
  <c r="M14" i="1" s="1"/>
  <c r="Y13" i="1"/>
  <c r="V13" i="1"/>
  <c r="O13" i="1"/>
  <c r="P13" i="1" s="1"/>
  <c r="L13" i="1"/>
  <c r="L19" i="1"/>
  <c r="M13" i="1"/>
  <c r="F221" i="13"/>
  <c r="F211" i="13"/>
  <c r="F212" i="13"/>
  <c r="F213" i="13"/>
  <c r="F214" i="13"/>
  <c r="F215" i="13"/>
  <c r="F216" i="13"/>
  <c r="F217" i="13"/>
  <c r="F218" i="13"/>
  <c r="F219" i="13"/>
  <c r="F220" i="13"/>
  <c r="F210" i="13"/>
  <c r="B221" i="13" a="1"/>
  <c r="B221" i="13"/>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O14" i="1"/>
  <c r="P14" i="1" l="1"/>
  <c r="Q14" i="1" s="1"/>
  <c r="AG14" i="1" s="1"/>
  <c r="AF14" i="1" s="1"/>
  <c r="AC13" i="1"/>
  <c r="AE14" i="1"/>
  <c r="AD14" i="1"/>
  <c r="AC12" i="1"/>
  <c r="Q13" i="1"/>
  <c r="AG13" i="1" s="1"/>
  <c r="AF13" i="1" s="1"/>
  <c r="R13" i="1"/>
  <c r="L14" i="18"/>
  <c r="R6" i="18"/>
  <c r="X14" i="18"/>
  <c r="L22" i="18"/>
  <c r="AJ30" i="18"/>
  <c r="R22" i="18"/>
  <c r="R12" i="1"/>
  <c r="X6" i="18"/>
  <c r="R30" i="18"/>
  <c r="X22" i="18"/>
  <c r="L6" i="18"/>
  <c r="AD22" i="18"/>
  <c r="R14" i="18"/>
  <c r="AD6" i="18"/>
  <c r="Q12" i="1"/>
  <c r="AG12" i="1" s="1"/>
  <c r="AF12" i="1" s="1"/>
  <c r="AD38" i="18"/>
  <c r="R38" i="18"/>
  <c r="AJ14" i="18"/>
  <c r="X30" i="18"/>
  <c r="L30" i="18"/>
  <c r="AJ38" i="18"/>
  <c r="AJ22" i="18"/>
  <c r="AD30" i="18"/>
  <c r="L38" i="18"/>
  <c r="AD14" i="18"/>
  <c r="AJ6" i="18"/>
  <c r="X38" i="18"/>
  <c r="AE13" i="1"/>
  <c r="AD13" i="1"/>
  <c r="R14" i="1" l="1"/>
  <c r="AH14" i="1"/>
  <c r="AE12" i="1"/>
  <c r="AD12" i="1"/>
  <c r="K47" i="19"/>
  <c r="K37" i="19"/>
  <c r="K7" i="19"/>
  <c r="W37" i="19"/>
  <c r="AI47" i="19"/>
  <c r="AC7" i="19"/>
  <c r="Q17" i="19"/>
  <c r="AI7" i="19"/>
  <c r="Q27" i="19"/>
  <c r="W47" i="19"/>
  <c r="W17" i="19"/>
  <c r="AC27" i="19"/>
  <c r="Q37" i="19"/>
  <c r="AH13" i="1"/>
  <c r="W27" i="19"/>
  <c r="AC47" i="19"/>
  <c r="AI27" i="19"/>
  <c r="K17" i="19"/>
  <c r="Q47" i="19"/>
  <c r="AC37" i="19"/>
  <c r="Q7" i="19"/>
  <c r="AC17" i="19"/>
  <c r="W7" i="19"/>
  <c r="AI37" i="19"/>
  <c r="K27" i="19"/>
  <c r="AI17" i="19"/>
  <c r="AB27" i="19" l="1"/>
  <c r="P27" i="19"/>
  <c r="V37" i="19"/>
  <c r="J17" i="19"/>
  <c r="AB7" i="19"/>
  <c r="AH17" i="19"/>
  <c r="V47" i="19"/>
  <c r="P17" i="19"/>
  <c r="P7" i="19"/>
  <c r="J37" i="19"/>
  <c r="V17" i="19"/>
  <c r="AH27" i="19"/>
  <c r="J47" i="19"/>
  <c r="AB37" i="19"/>
  <c r="AH47" i="19"/>
  <c r="AB47" i="19"/>
  <c r="AH12" i="1"/>
  <c r="J7" i="19"/>
  <c r="V27" i="19"/>
  <c r="J27" i="19"/>
  <c r="P37" i="19"/>
  <c r="P47" i="19"/>
  <c r="AH7" i="19"/>
  <c r="V7" i="19"/>
  <c r="AB17" i="19"/>
  <c r="AH37"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<sst xmlns="http://schemas.openxmlformats.org/spreadsheetml/2006/main" count="433" uniqueCount="289">
  <si>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</si>
  <si>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</si>
  <si>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</si>
  <si>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</si>
  <si>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</si>
  <si>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</si>
  <si>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</si>
  <si>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</si>
  <si>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</si>
  <si>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</si>
  <si>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</si>
  <si>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</si>
  <si>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</si>
  <si>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</si>
  <si>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</si>
  <si>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</si>
  <si>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</si>
  <si>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</si>
  <si>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</si>
  <si>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</si>
  <si>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</si>
  <si>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</si>
  <si>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</si>
  <si>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</si>
  <si>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</si>
  <si>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</si>
  <si>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</si>
  <si>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</si>
  <si>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</si>
  <si>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</si>
  <si>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</si>
  <si>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</si>
  <si>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</si>
  <si>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</si>
  <si>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</si>
  <si>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</si>
  <si>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</si>
  <si>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</si>
  <si>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</si>
  <si>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</si>
  <si>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</si>
  <si>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</si>
  <si>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</si>
  <si>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</si>
  <si>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</si>
  <si>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</si>
  <si>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</si>
  <si>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</si>
  <si>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</si>
  <si>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</si>
  <si>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</si>
  <si>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</si>
  <si>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</si>
  <si>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</si>
  <si>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</si>
  <si>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</si>
  <si>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</si>
  <si>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</si>
  <si>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</si>
  <si>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</si>
  <si>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</si>
  <si>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</si>
  <si>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</si>
  <si>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</si>
  <si>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</si>
  <si>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</si>
  <si>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</si>
  <si>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INVESTIGACIÓN</t>
  </si>
  <si>
    <t>Objetivo:</t>
  </si>
  <si>
    <t>Apoyar la investigación en la ETITC, mediante el fomento a las Actividades de Ciencia Tecnología e innovación ACTI, la generación del conocimiento y la gestión de la transferencia del conocimiento, para insertarse en el Sistema Nacional de Ciencia, Tecnología e Innovación.</t>
  </si>
  <si>
    <t>Alcance:</t>
  </si>
  <si>
    <t>Desde la estructuración de programas de formación investigativa, el apoyo a las ACTI y a la gestión de transferencia del conocimiento hasta la difusión de sus resultados.</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</si>
  <si>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</si>
  <si>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</si>
  <si>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</si>
  <si>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</si>
  <si>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</si>
  <si>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</si>
  <si>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</si>
  <si>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</si>
  <si>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</si>
  <si>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</si>
  <si>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</si>
  <si>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</si>
  <si>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</si>
  <si>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</si>
  <si>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</si>
  <si>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</si>
  <si>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</si>
  <si>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</si>
  <si>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</si>
  <si>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</si>
  <si>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</si>
  <si>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</si>
  <si>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</si>
  <si>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</si>
  <si>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</si>
  <si>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</si>
  <si>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</si>
  <si>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</si>
  <si>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</si>
  <si>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</si>
  <si>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</si>
  <si>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</si>
  <si>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</si>
  <si>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</si>
  <si>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Gestión</t>
  </si>
  <si>
    <t>Talento humano</t>
  </si>
  <si>
    <t>Reputacional</t>
  </si>
  <si>
    <t>No registro de productos de investigación</t>
  </si>
  <si>
    <t xml:space="preserve"> 
 Falta de habilidades para desarrollar procesos de investigación.</t>
  </si>
  <si>
    <t>Posibilidad de afectación reputacional debido a que los productos en los  proyectos de investigación no se desarrollen segùn los objetivos propuestos</t>
  </si>
  <si>
    <t>Ejecución y Administración de procesos</t>
  </si>
  <si>
    <t>Servicios</t>
  </si>
  <si>
    <t>NA</t>
  </si>
  <si>
    <t xml:space="preserve">     El riesgo afecta la imagen de la entidad con algunos usuarios de relevancia frente al logro de los objetivos</t>
  </si>
  <si>
    <t>Programar cursos y acompañamientos para fortalecer las habilidades de los investigadores</t>
  </si>
  <si>
    <t>Programaciòn de cursos, acompañamientos realizados y listas de asistencia.</t>
  </si>
  <si>
    <t>Preventivo</t>
  </si>
  <si>
    <t>Manual</t>
  </si>
  <si>
    <t>Documentado</t>
  </si>
  <si>
    <t>Continua</t>
  </si>
  <si>
    <t>Con Registro</t>
  </si>
  <si>
    <t>Reducir (mitigar)</t>
  </si>
  <si>
    <t xml:space="preserve">Socializaciòn de los avances de los proyectos de investigaciòn </t>
  </si>
  <si>
    <t xml:space="preserve">Profesional de Investigación </t>
  </si>
  <si>
    <t xml:space="preserve">1. Curso Fundamentos de LaTeX   Inicio 01-04-2024  Fin 27-05-2024,  38 inscritos (8 docentes, 1 administrativo, 29 estudiantes) . Facultades (sistemas, electromecanica, mecatronica, sistemas, procesos industriales
2. Convocatoria Bootcamp Blockchain.  inicio 13-03- 2024  80 inscritos (69 estudiantes, 11 docentes)                                
3. Socialización convocatoria registro productos resultados de actividades de desarrollo tecnológico e innovación No. 03-2024, realizada 15/03/2024,   participantes 16 docentes y 1 administrativo                                                       
4. Capacitación Turnitin:   el 09/04/2024 , 16 participantes  ( 14 docentes facultadades de sistemas, mecánica, electromecánica y procesos) y 2 administrativos                                            
5. Capacitación Introducción a la ética de la investigación, la bioética y la integridad científica, inicio 03-05-24, finaliza  15-06-24,  invitados :  11  integrantes  comité de ética: 8 administrativos y 3 docentes,  91 docentes PES y 184 docentes de cátedra.
6- Capacitación Base de datos Web Of Science  </t>
  </si>
  <si>
    <t>Ver Evidencias</t>
  </si>
  <si>
    <t>En curso</t>
  </si>
  <si>
    <t xml:space="preserve">1- Curso Manejo Plataformas Cvlac y GrupLac, Del 16 al 26 de julio de 2024. duración 20 horas y 21 profesores de educacion superior certificados
https://etitc.edu.co/archives/cursocvlacgruplac24.pdf
2- Curso Formulación de proyectos, del  21 al 28 de junio , duración  30 horas. (20 horas presenciales y 10 horas virtuales)  25 profesores certificados
https://etitc.edu.co/archives/cursofproyectosinvestigacion24.pdf
3- Capacitación en Uso de  base de datos Web Of Science, duración 1 hora así:
 Junio 21 con  23 profesores
 Julio  11 con 19 profesores 
Agosto 26  con  15 profesores y 	2  administrativos  https://www.etitc.edu.co/es/evento/90
 </t>
  </si>
  <si>
    <t>Económico y Reputacional</t>
  </si>
  <si>
    <t>No se presto el acompañamiento previsto al semillero</t>
  </si>
  <si>
    <t xml:space="preserve">Inhadecuada planaeciòn de las actividades para el semillero para el semestre
</t>
  </si>
  <si>
    <t>Posibilidad de afectación económica y reputacional debido a que no se cumplan con las expectativas de los estudiantes vinculados a los semilleros</t>
  </si>
  <si>
    <t>Documental</t>
  </si>
  <si>
    <t>Disponibilidad</t>
  </si>
  <si>
    <t>Aprobaciòn y seguimiento al plan de trabajo planteado por el semillero</t>
  </si>
  <si>
    <t>Plan de trabajo de semilleros e Informe semestral de los semilleros</t>
  </si>
  <si>
    <t>Mantener los controles establecidos en el procedimiento</t>
  </si>
  <si>
    <t xml:space="preserve">Contratista Investigación estudiantil </t>
  </si>
  <si>
    <t>1- Convocatoria  inscripción semilleros investigación  2024- I del 5 al 16 de febrero, se presentaron 28 semilleros con   446 estudiantes inscritos
2- X Campamento  Semilleros Investigación  Inicio 04/04/2024 Fin 05/04/202 Participantes:  47 estudiantes  de los semilleros</t>
  </si>
  <si>
    <t>1.	Se realizó la socialización de 33 proyectos de semilleros el día 28 de mayo, contó con la participación de 84 asistentes.  
2.	El 6 de junio se realizó la capacitación en la Plataforma de Investigación Gnosoft, participaron 19 profesores.
3.	Convocatoria Semilleros de Investigación 2024-2, se realizó del 5 al 20 de agosto de 2024, en la cual se inscribieron 390 estudiantes distribuidos entre 30 semilleros de investigación de la ETITC.
4.	El 29 de agosto de 2024, un total de 43 estudiantes de semilleros de investigación participaron en el XXII Encuentro Regional de Semilleros de Investigación RedCOLSI Nodo Bogotá-Cundinamarca.
Ver evidencias: https://itceduco-my.sharepoint.com/:f:/g/personal/semilleros_itc_edu_co/ErnCt8PFXjVBpiJO8XAL59UBl_o5atCKgeIteu564xQgZQ?e=Y5kh4q</t>
  </si>
  <si>
    <t>Corrupción</t>
  </si>
  <si>
    <t>Reportar productos de manera erronea</t>
  </si>
  <si>
    <t>No validar la autenticidad de los docuementos que soportan existencia y calidad de los productos</t>
  </si>
  <si>
    <t xml:space="preserve">Posibilidad de afectación reputacional debido a la verificaciòn de registros en GrupLac y Cvlac con información indebidamente soportada para favorecimiento de terceros </t>
  </si>
  <si>
    <t>Software</t>
  </si>
  <si>
    <t>Integridad</t>
  </si>
  <si>
    <t xml:space="preserve">Verificar las condiciones de existencia y calidad de los productos de acuerdo con el modelo de medición de grupos e investigadores de Minciencias. </t>
  </si>
  <si>
    <t xml:space="preserve">Informe de verificación de existencia y calidad de  productos </t>
  </si>
  <si>
    <t>Evitar</t>
  </si>
  <si>
    <t>Plan de acompañamiento a grupos de investigación</t>
  </si>
  <si>
    <t>Contratista Apoyo a la investigación</t>
  </si>
  <si>
    <t>1- Convocatoria N 03-2024 Registro de productos resultados de desarrollo tecnológico e innovación,  Socialización 15/03/2024  con 14 docentes  participantes  se ha recibido   inscripción del  prototipo Vehículo de Tracción Electrica E-force  del profesor Alejandro Martínez (facultad de Mecánica)  se realizan dos asesoría los  días 16/04/2024   y  23/04/2024 
2-   Plan de Categorización de los Grupos de Investigación que consta de cuatro fases a saber: inicio 01/2024
Fase 1 Caracterización
Fase 2:  Revisión y Ajuste 
Fase 3: Análisis de información 
Fase 4: Estrategias: 
Establecer Estrategias para categorización de los grupos. Para esta parte y una vez se tenga finalizada la fase 3 en general con un porcentaje superior al 80% con todos los grupos se dedicará a: 
a. Investigar: se motivará a los grupos para que se presenten en las convocatorias de proyectos investigación​, tanto internas como externas. Aquí cabe aclarar que se buscará que los semilleros trabajen en la misma dirección que los grupos en sus proyectos, para subir de esta forma la producción de los mismos y el crecimiento de los semilleros al interior de los mismos.  b. Capacitaciones​, la idea es poner a los grupos en las dinámicas actuales para el desarrollo de la investigación en temáticas como inteligencia artificial aplicada a las prácticas investigativas, tanto en el desarrollo como en la difusión de las mismas.  
c. Convocatoria Registro Producción: Se mantendrá actualizada la base de datos de los distintos productos que resulten de las diferentes investigaciones que se desarrollen por parte de los grupos, como se ha indicado en el ítem a de esta fase. ​</t>
  </si>
  <si>
    <t xml:space="preserve">2-   Plan de Categorización de los Grupos de Investigación  De acuerdo con  la publicación de la convocatoria de medición de grupos 957 de Minciencias,  la ETITC  se encuentra  en la fase de revisión  de producción registrada en Gruplac   así:
1 - Junio 25 de 2024  Comunicado Convocatoria 957 Minciencias - Categorización Grupos
https://etitc.edu.co/archives/957categorizacion.pdf
2- Septiembre 2 de 2024  Comunicado actualizacion cronograma  aval institucional grupos
https://etitc.edu.co/archives/957categorizaciona.pdf
</t>
  </si>
  <si>
    <r>
      <rPr>
        <b/>
        <sz val="11"/>
        <color rgb="FFE26B0A"/>
        <rFont val="Arial Narrow"/>
      </rPr>
      <t xml:space="preserve">*Nota: </t>
    </r>
    <r>
      <rPr>
        <sz val="11"/>
        <color rgb="FF000000"/>
        <rFont val="Arial Narrow"/>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</si>
  <si>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Armando Solano Suárez</t>
    </r>
  </si>
  <si>
    <t>Fecha de actualización: 10/03/2023</t>
  </si>
  <si>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</si>
  <si>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</si>
  <si>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</si>
  <si>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</si>
  <si>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</si>
  <si>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</si>
  <si>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</si>
  <si>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</si>
  <si>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</si>
  <si>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</si>
  <si>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</si>
  <si>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</si>
  <si>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Financiero</t>
  </si>
  <si>
    <t>Estratégico</t>
  </si>
  <si>
    <t>Infraestructura</t>
  </si>
  <si>
    <t>Procesos</t>
  </si>
  <si>
    <t>Seguridad digital</t>
  </si>
  <si>
    <t>Tecnología</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</si>
  <si>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</si>
  <si>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</si>
  <si>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</si>
  <si>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</si>
  <si>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</si>
  <si>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</si>
  <si>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</si>
  <si>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</si>
  <si>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</si>
  <si>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</si>
  <si>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</si>
  <si>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</si>
  <si>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</si>
  <si>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</si>
  <si>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</si>
  <si>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</si>
  <si>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</si>
  <si>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</si>
  <si>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</si>
  <si>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</si>
  <si>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</si>
  <si>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</si>
  <si>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</si>
  <si>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</si>
  <si>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</si>
  <si>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</si>
  <si>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</si>
  <si>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</si>
  <si>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</si>
  <si>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</si>
  <si>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</si>
  <si>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</si>
  <si>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</si>
  <si>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</si>
  <si>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</si>
  <si>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</si>
  <si>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</si>
  <si>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</si>
  <si>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</si>
  <si>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</si>
  <si>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</si>
  <si>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</si>
  <si>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</si>
  <si>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</si>
  <si>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</si>
  <si>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</si>
  <si>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</si>
  <si>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</si>
  <si>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</si>
  <si>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</si>
  <si>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</si>
  <si>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</si>
  <si>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</si>
  <si>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</si>
  <si>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</si>
  <si>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</si>
  <si>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</si>
  <si>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</si>
  <si>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</si>
  <si>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</si>
  <si>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</si>
  <si>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</si>
  <si>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</si>
  <si>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</si>
  <si>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</si>
  <si>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</si>
  <si>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</si>
  <si>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</si>
  <si>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</si>
  <si>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</si>
  <si>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</si>
  <si>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</si>
  <si>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</si>
  <si>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</si>
  <si>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</si>
  <si>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</si>
  <si>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</si>
  <si>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</si>
  <si>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</si>
  <si>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</si>
  <si>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</si>
  <si>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</si>
  <si>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</si>
  <si>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</si>
  <si>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</si>
  <si>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</si>
  <si>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</si>
  <si>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</si>
  <si>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</si>
  <si>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</si>
  <si>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</si>
  <si>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</si>
  <si>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</si>
  <si>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</si>
  <si>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</si>
  <si>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</si>
  <si>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</si>
  <si>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</si>
  <si>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Reducir (compartir)</t>
  </si>
  <si>
    <t>Plan de accion (solo para la opción reducir)</t>
  </si>
  <si>
    <t>Finalizado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</si>
  <si>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</si>
  <si>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</si>
  <si>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</si>
  <si>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</si>
  <si>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</si>
  <si>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</si>
  <si>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</si>
  <si>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</si>
  <si>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</si>
  <si>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</si>
  <si>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</si>
  <si>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Soporte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</si>
</sst>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1"/>
      <color theme="3"/>
      <name val="Arial Narrow"/>
      <family val="2"/>
    </font>
    <font>
      <u/>
      <sz val="11"/>
      <color theme="10"/>
      <name val="Calibri"/>
      <family val="2"/>
      <scheme val="minor"/>
    </font>
    <font>
      <b/>
      <sz val="11"/>
      <color rgb="FFE26B0A"/>
      <name val="Arial Narrow"/>
    </font>
    <font>
      <sz val="11"/>
      <color rgb="FF000000"/>
      <name val="Arial Narrow"/>
    </font>
    <font>
      <sz val="11"/>
      <color theme="1"/>
      <name val="Arial Narrow"/>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6">
    <xf numFmtId="0" fontId="0" fillId="0" borderId="0"/>
    <xf numFmtId="9" fontId="13" fillId="0" borderId="0" applyFont="0" applyFill="0" applyBorder="0" applyAlignment="0" applyProtection="0"/>
    <xf numFmtId="0" fontId="45" fillId="0" borderId="0"/>
    <xf numFmtId="0" fontId="46" fillId="0" borderId="0"/>
    <xf numFmtId="0" fontId="5" fillId="0" borderId="0"/>
    <xf numFmtId="0" fontId="67" fillId="0" borderId="0" applyNumberFormat="0" applyFill="0" applyBorder="0" applyAlignment="0" applyProtection="0"/>
  </cellStyleXfs>
  <cellXfs count="375">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1"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22" fillId="13" borderId="12"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69" xfId="0" applyFont="1" applyBorder="1" applyAlignment="1">
      <alignment horizontal="center" vertical="center" wrapText="1"/>
    </xf>
    <xf numFmtId="0" fontId="64" fillId="0" borderId="69" xfId="0" applyFont="1" applyBorder="1" applyAlignment="1">
      <alignment vertical="center" wrapText="1"/>
    </xf>
    <xf numFmtId="0" fontId="1" fillId="0" borderId="2" xfId="0" applyFont="1" applyBorder="1" applyAlignment="1">
      <alignment horizontal="center" vertical="center"/>
    </xf>
    <xf numFmtId="0" fontId="60" fillId="7" borderId="21" xfId="0" applyFont="1" applyFill="1" applyBorder="1" applyAlignment="1">
      <alignment horizontal="center" vertical="center" textRotation="90"/>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horizontal="center" vertical="center"/>
    </xf>
    <xf numFmtId="0" fontId="1" fillId="0" borderId="0" xfId="0" applyFont="1" applyAlignment="1">
      <alignment wrapText="1"/>
    </xf>
    <xf numFmtId="0" fontId="1"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9" fontId="1" fillId="0" borderId="21" xfId="0" applyNumberFormat="1" applyFont="1" applyBorder="1" applyAlignment="1" applyProtection="1">
      <alignment horizontal="center" vertical="center"/>
      <protection hidden="1"/>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1" fillId="3" borderId="0" xfId="0" applyFont="1" applyFill="1" applyAlignment="1">
      <alignment vertical="center"/>
    </xf>
    <xf numFmtId="0" fontId="1" fillId="0" borderId="0" xfId="0" applyFont="1" applyAlignment="1">
      <alignment vertical="center"/>
    </xf>
    <xf numFmtId="0" fontId="1" fillId="3" borderId="0" xfId="0" applyFont="1" applyFill="1" applyAlignment="1">
      <alignment horizontal="center" vertical="center"/>
    </xf>
    <xf numFmtId="0" fontId="1" fillId="0" borderId="21" xfId="0" applyFont="1" applyBorder="1" applyAlignment="1" applyProtection="1">
      <alignment horizontal="left" vertical="center" wrapText="1"/>
      <protection locked="0"/>
    </xf>
    <xf numFmtId="0" fontId="67" fillId="0" borderId="21" xfId="5" applyBorder="1" applyAlignment="1" applyProtection="1">
      <alignment horizontal="left" vertical="center" wrapText="1"/>
      <protection locked="0"/>
    </xf>
    <xf numFmtId="0" fontId="67" fillId="0" borderId="0" xfId="5" applyFill="1"/>
    <xf numFmtId="0" fontId="1" fillId="3" borderId="21" xfId="0" applyFont="1" applyFill="1" applyBorder="1" applyAlignment="1" applyProtection="1">
      <alignment horizontal="left" vertical="center" wrapText="1"/>
      <protection locked="0"/>
    </xf>
    <xf numFmtId="0" fontId="45" fillId="3" borderId="0" xfId="0" applyFont="1" applyFill="1" applyAlignment="1">
      <alignment vertical="center" wrapText="1"/>
    </xf>
    <xf numFmtId="0" fontId="65" fillId="3" borderId="0" xfId="0" applyFont="1" applyFill="1" applyAlignment="1">
      <alignment horizontal="center"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56" fillId="0" borderId="21" xfId="0" applyFont="1" applyBorder="1" applyAlignment="1">
      <alignment horizontal="left" vertical="center"/>
    </xf>
    <xf numFmtId="0" fontId="60" fillId="7" borderId="21" xfId="0" applyFont="1" applyFill="1" applyBorder="1" applyAlignment="1">
      <alignment horizontal="center" vertical="center" wrapText="1"/>
    </xf>
    <xf numFmtId="0" fontId="61" fillId="0" borderId="67" xfId="0" applyFont="1" applyBorder="1" applyAlignment="1">
      <alignment horizontal="left" vertical="center"/>
    </xf>
    <xf numFmtId="0" fontId="61" fillId="0" borderId="66" xfId="0" applyFont="1" applyBorder="1" applyAlignment="1">
      <alignment horizontal="left" vertical="center"/>
    </xf>
    <xf numFmtId="0" fontId="61" fillId="0" borderId="68" xfId="0" applyFont="1" applyBorder="1" applyAlignment="1">
      <alignment horizontal="left" vertical="center"/>
    </xf>
    <xf numFmtId="0" fontId="61" fillId="0" borderId="67" xfId="0" applyFont="1" applyBorder="1" applyAlignment="1">
      <alignment horizontal="left" vertical="center" wrapText="1"/>
    </xf>
    <xf numFmtId="0" fontId="60" fillId="7" borderId="21" xfId="0" applyFont="1" applyFill="1" applyBorder="1" applyAlignment="1">
      <alignment horizontal="center" vertical="center" textRotation="90" wrapText="1"/>
    </xf>
    <xf numFmtId="0" fontId="58" fillId="0" borderId="21" xfId="0" applyFont="1" applyBorder="1" applyAlignment="1" applyProtection="1">
      <alignment horizontal="center" wrapText="1"/>
      <protection locked="0"/>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57" fillId="0" borderId="21" xfId="0" applyFont="1" applyBorder="1" applyAlignment="1" applyProtection="1">
      <alignment horizontal="center" vertical="center"/>
      <protection locked="0"/>
    </xf>
    <xf numFmtId="0" fontId="70" fillId="0" borderId="2"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63" fillId="0" borderId="21" xfId="0" applyFont="1" applyBorder="1" applyAlignment="1">
      <alignment horizontal="left" vertical="center" wrapText="1"/>
    </xf>
    <xf numFmtId="0" fontId="64" fillId="0" borderId="69" xfId="0" applyFont="1" applyBorder="1" applyAlignment="1">
      <alignment horizontal="center" vertical="center" wrapText="1"/>
    </xf>
    <xf numFmtId="0" fontId="65" fillId="0" borderId="69" xfId="0" applyFont="1" applyBorder="1" applyAlignment="1">
      <alignment horizontal="center" vertical="center" wrapText="1"/>
    </xf>
    <xf numFmtId="0" fontId="48" fillId="0" borderId="67" xfId="0" applyFont="1" applyBorder="1" applyAlignment="1">
      <alignment horizontal="left" vertical="center" wrapText="1"/>
    </xf>
    <xf numFmtId="0" fontId="48" fillId="0" borderId="66" xfId="0" applyFont="1" applyBorder="1" applyAlignment="1">
      <alignment horizontal="left" vertical="center" wrapText="1"/>
    </xf>
    <xf numFmtId="0" fontId="48" fillId="0" borderId="68" xfId="0" applyFont="1" applyBorder="1" applyAlignment="1">
      <alignment horizontal="left" vertical="center" wrapText="1"/>
    </xf>
    <xf numFmtId="0" fontId="60" fillId="7" borderId="63" xfId="0" applyFont="1" applyFill="1" applyBorder="1" applyAlignment="1">
      <alignment horizontal="center" vertical="center"/>
    </xf>
    <xf numFmtId="0" fontId="60" fillId="7" borderId="57" xfId="0" applyFont="1" applyFill="1" applyBorder="1" applyAlignment="1">
      <alignment horizontal="center" vertical="center"/>
    </xf>
    <xf numFmtId="0" fontId="59" fillId="7" borderId="67" xfId="0" applyFont="1" applyFill="1" applyBorder="1" applyAlignment="1">
      <alignment horizontal="center" vertical="center"/>
    </xf>
    <xf numFmtId="0" fontId="59" fillId="7" borderId="68" xfId="0" applyFont="1" applyFill="1" applyBorder="1" applyAlignment="1">
      <alignment horizontal="center" vertical="center"/>
    </xf>
    <xf numFmtId="0" fontId="60" fillId="7" borderId="70"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24" fillId="0" borderId="0" xfId="0" applyFont="1" applyAlignment="1">
      <alignment horizontal="center" vertical="center" wrapText="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cellStyle name="Normal 2" xfId="4"/>
    <cellStyle name="Normal 2 2" xfId="3"/>
    <cellStyle name="Porcentaje" xfId="1" builtinId="5"/>
  </cellStyles>
  <dxfs count="3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308759</xdr:colOff>
      <xdr:row>0</xdr:row>
      <xdr:rowOff>275422</xdr:rowOff>
    </xdr:from>
    <xdr:to>
      <xdr:col>6</xdr:col>
      <xdr:colOff>1098691</xdr:colOff>
      <xdr:row>2</xdr:row>
      <xdr:rowOff>112819</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1922" y="275422"/>
          <a:ext cx="789932" cy="74399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personal/estadistica_itc_edu_co/Documents/D.F.P.G/2022/6.%20Riesgos/Inv%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f:/g/personal/investigacion_itc_edu_co/Ej5Q-1SKk5tIr2WM6nytIYkBqoC_cPQhREsXoXN7NGSogA%3fe=TUzIdg" TargetMode="External"/><Relationship Id="rId2" Type="http://schemas.openxmlformats.org/officeDocument/2006/relationships/hyperlink" Target="../../../../../../../:f:/g/personal/investigacion_itc_edu_co/EpyzOur336RJvLbxgvU9w20BZePyXq4wNBISoYXXhEMJEA%3fe=FiqO4r" TargetMode="External"/><Relationship Id="rId1" Type="http://schemas.openxmlformats.org/officeDocument/2006/relationships/hyperlink" Target="../../../../../../../:f:/g/personal/investigacion_itc_edu_co/EqaiUAlmSJdGqVNyq_OLYA4BBJTK_lMYud1gBje3ZwPXnA%3fe=BnNQY5"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60" t="s">
        <v>0</v>
      </c>
      <c r="C2" s="161"/>
      <c r="D2" s="161"/>
      <c r="E2" s="161"/>
      <c r="F2" s="161"/>
      <c r="G2" s="161"/>
      <c r="H2" s="162"/>
    </row>
    <row r="3" spans="2:8" x14ac:dyDescent="0.25">
      <c r="B3" s="76"/>
      <c r="C3" s="77"/>
      <c r="D3" s="77"/>
      <c r="E3" s="77"/>
      <c r="F3" s="77"/>
      <c r="G3" s="77"/>
      <c r="H3" s="78"/>
    </row>
    <row r="4" spans="2:8" ht="63" customHeight="1" x14ac:dyDescent="0.25">
      <c r="B4" s="163" t="s">
        <v>1</v>
      </c>
      <c r="C4" s="164"/>
      <c r="D4" s="164"/>
      <c r="E4" s="164"/>
      <c r="F4" s="164"/>
      <c r="G4" s="164"/>
      <c r="H4" s="165"/>
    </row>
    <row r="5" spans="2:8" ht="63" customHeight="1" x14ac:dyDescent="0.25">
      <c r="B5" s="166"/>
      <c r="C5" s="167"/>
      <c r="D5" s="167"/>
      <c r="E5" s="167"/>
      <c r="F5" s="167"/>
      <c r="G5" s="167"/>
      <c r="H5" s="168"/>
    </row>
    <row r="6" spans="2:8" ht="16.5" x14ac:dyDescent="0.25">
      <c r="B6" s="169" t="s">
        <v>2</v>
      </c>
      <c r="C6" s="170"/>
      <c r="D6" s="170"/>
      <c r="E6" s="170"/>
      <c r="F6" s="170"/>
      <c r="G6" s="170"/>
      <c r="H6" s="171"/>
    </row>
    <row r="7" spans="2:8" ht="95.25" customHeight="1" x14ac:dyDescent="0.25">
      <c r="B7" s="179" t="s">
        <v>3</v>
      </c>
      <c r="C7" s="180"/>
      <c r="D7" s="180"/>
      <c r="E7" s="180"/>
      <c r="F7" s="180"/>
      <c r="G7" s="180"/>
      <c r="H7" s="181"/>
    </row>
    <row r="8" spans="2:8" ht="16.5" x14ac:dyDescent="0.25">
      <c r="B8" s="112"/>
      <c r="C8" s="113"/>
      <c r="D8" s="113"/>
      <c r="E8" s="113"/>
      <c r="F8" s="113"/>
      <c r="G8" s="113"/>
      <c r="H8" s="114"/>
    </row>
    <row r="9" spans="2:8" ht="16.5" customHeight="1" x14ac:dyDescent="0.25">
      <c r="B9" s="172" t="s">
        <v>4</v>
      </c>
      <c r="C9" s="173"/>
      <c r="D9" s="173"/>
      <c r="E9" s="173"/>
      <c r="F9" s="173"/>
      <c r="G9" s="173"/>
      <c r="H9" s="174"/>
    </row>
    <row r="10" spans="2:8" ht="44.25" customHeight="1" x14ac:dyDescent="0.25">
      <c r="B10" s="172"/>
      <c r="C10" s="173"/>
      <c r="D10" s="173"/>
      <c r="E10" s="173"/>
      <c r="F10" s="173"/>
      <c r="G10" s="173"/>
      <c r="H10" s="174"/>
    </row>
    <row r="11" spans="2:8" ht="15.75" thickBot="1" x14ac:dyDescent="0.3">
      <c r="B11" s="101"/>
      <c r="C11" s="104"/>
      <c r="D11" s="109"/>
      <c r="E11" s="110"/>
      <c r="F11" s="110"/>
      <c r="G11" s="111"/>
      <c r="H11" s="105"/>
    </row>
    <row r="12" spans="2:8" ht="15.75" thickTop="1" x14ac:dyDescent="0.25">
      <c r="B12" s="101"/>
      <c r="C12" s="175" t="s">
        <v>5</v>
      </c>
      <c r="D12" s="176"/>
      <c r="E12" s="177" t="s">
        <v>6</v>
      </c>
      <c r="F12" s="178"/>
      <c r="G12" s="104"/>
      <c r="H12" s="105"/>
    </row>
    <row r="13" spans="2:8" ht="35.25" customHeight="1" x14ac:dyDescent="0.25">
      <c r="B13" s="101"/>
      <c r="C13" s="182" t="s">
        <v>7</v>
      </c>
      <c r="D13" s="183"/>
      <c r="E13" s="184" t="s">
        <v>8</v>
      </c>
      <c r="F13" s="185"/>
      <c r="G13" s="104"/>
      <c r="H13" s="105"/>
    </row>
    <row r="14" spans="2:8" ht="17.25" customHeight="1" x14ac:dyDescent="0.25">
      <c r="B14" s="101"/>
      <c r="C14" s="182" t="s">
        <v>9</v>
      </c>
      <c r="D14" s="183"/>
      <c r="E14" s="184" t="s">
        <v>10</v>
      </c>
      <c r="F14" s="185"/>
      <c r="G14" s="104"/>
      <c r="H14" s="105"/>
    </row>
    <row r="15" spans="2:8" ht="19.5" customHeight="1" x14ac:dyDescent="0.25">
      <c r="B15" s="101"/>
      <c r="C15" s="182" t="s">
        <v>11</v>
      </c>
      <c r="D15" s="183"/>
      <c r="E15" s="184" t="s">
        <v>12</v>
      </c>
      <c r="F15" s="185"/>
      <c r="G15" s="104"/>
      <c r="H15" s="105"/>
    </row>
    <row r="16" spans="2:8" ht="69.75" customHeight="1" x14ac:dyDescent="0.25">
      <c r="B16" s="101"/>
      <c r="C16" s="182" t="s">
        <v>13</v>
      </c>
      <c r="D16" s="183"/>
      <c r="E16" s="184" t="s">
        <v>14</v>
      </c>
      <c r="F16" s="185"/>
      <c r="G16" s="104"/>
      <c r="H16" s="105"/>
    </row>
    <row r="17" spans="2:8" ht="34.5" customHeight="1" x14ac:dyDescent="0.25">
      <c r="B17" s="101"/>
      <c r="C17" s="186" t="s">
        <v>15</v>
      </c>
      <c r="D17" s="187"/>
      <c r="E17" s="188" t="s">
        <v>16</v>
      </c>
      <c r="F17" s="189"/>
      <c r="G17" s="104"/>
      <c r="H17" s="105"/>
    </row>
    <row r="18" spans="2:8" ht="27.75" customHeight="1" x14ac:dyDescent="0.25">
      <c r="B18" s="101"/>
      <c r="C18" s="186" t="s">
        <v>17</v>
      </c>
      <c r="D18" s="187"/>
      <c r="E18" s="188" t="s">
        <v>18</v>
      </c>
      <c r="F18" s="189"/>
      <c r="G18" s="104"/>
      <c r="H18" s="105"/>
    </row>
    <row r="19" spans="2:8" ht="28.5" customHeight="1" x14ac:dyDescent="0.25">
      <c r="B19" s="101"/>
      <c r="C19" s="186" t="s">
        <v>19</v>
      </c>
      <c r="D19" s="187"/>
      <c r="E19" s="188" t="s">
        <v>20</v>
      </c>
      <c r="F19" s="189"/>
      <c r="G19" s="104"/>
      <c r="H19" s="105"/>
    </row>
    <row r="20" spans="2:8" ht="72.75" customHeight="1" x14ac:dyDescent="0.25">
      <c r="B20" s="101"/>
      <c r="C20" s="186" t="s">
        <v>21</v>
      </c>
      <c r="D20" s="187"/>
      <c r="E20" s="188" t="s">
        <v>22</v>
      </c>
      <c r="F20" s="189"/>
      <c r="G20" s="104"/>
      <c r="H20" s="105"/>
    </row>
    <row r="21" spans="2:8" ht="64.5" customHeight="1" x14ac:dyDescent="0.25">
      <c r="B21" s="101"/>
      <c r="C21" s="186" t="s">
        <v>23</v>
      </c>
      <c r="D21" s="187"/>
      <c r="E21" s="188" t="s">
        <v>24</v>
      </c>
      <c r="F21" s="189"/>
      <c r="G21" s="104"/>
      <c r="H21" s="105"/>
    </row>
    <row r="22" spans="2:8" ht="71.25" customHeight="1" x14ac:dyDescent="0.25">
      <c r="B22" s="101"/>
      <c r="C22" s="186" t="s">
        <v>25</v>
      </c>
      <c r="D22" s="187"/>
      <c r="E22" s="188" t="s">
        <v>26</v>
      </c>
      <c r="F22" s="189"/>
      <c r="G22" s="104"/>
      <c r="H22" s="105"/>
    </row>
    <row r="23" spans="2:8" ht="55.5" customHeight="1" x14ac:dyDescent="0.25">
      <c r="B23" s="101"/>
      <c r="C23" s="193" t="s">
        <v>27</v>
      </c>
      <c r="D23" s="194"/>
      <c r="E23" s="188" t="s">
        <v>28</v>
      </c>
      <c r="F23" s="189"/>
      <c r="G23" s="104"/>
      <c r="H23" s="105"/>
    </row>
    <row r="24" spans="2:8" ht="42" customHeight="1" x14ac:dyDescent="0.25">
      <c r="B24" s="101"/>
      <c r="C24" s="193" t="s">
        <v>29</v>
      </c>
      <c r="D24" s="194"/>
      <c r="E24" s="188" t="s">
        <v>30</v>
      </c>
      <c r="F24" s="189"/>
      <c r="G24" s="104"/>
      <c r="H24" s="105"/>
    </row>
    <row r="25" spans="2:8" ht="59.25" customHeight="1" x14ac:dyDescent="0.25">
      <c r="B25" s="101"/>
      <c r="C25" s="193" t="s">
        <v>31</v>
      </c>
      <c r="D25" s="194"/>
      <c r="E25" s="188" t="s">
        <v>32</v>
      </c>
      <c r="F25" s="189"/>
      <c r="G25" s="104"/>
      <c r="H25" s="105"/>
    </row>
    <row r="26" spans="2:8" ht="23.25" customHeight="1" x14ac:dyDescent="0.25">
      <c r="B26" s="101"/>
      <c r="C26" s="193" t="s">
        <v>33</v>
      </c>
      <c r="D26" s="194"/>
      <c r="E26" s="188" t="s">
        <v>34</v>
      </c>
      <c r="F26" s="189"/>
      <c r="G26" s="104"/>
      <c r="H26" s="105"/>
    </row>
    <row r="27" spans="2:8" ht="30.75" customHeight="1" x14ac:dyDescent="0.25">
      <c r="B27" s="101"/>
      <c r="C27" s="193" t="s">
        <v>35</v>
      </c>
      <c r="D27" s="194"/>
      <c r="E27" s="188" t="s">
        <v>36</v>
      </c>
      <c r="F27" s="189"/>
      <c r="G27" s="104"/>
      <c r="H27" s="105"/>
    </row>
    <row r="28" spans="2:8" ht="35.25" customHeight="1" x14ac:dyDescent="0.25">
      <c r="B28" s="101"/>
      <c r="C28" s="193" t="s">
        <v>37</v>
      </c>
      <c r="D28" s="194"/>
      <c r="E28" s="188" t="s">
        <v>38</v>
      </c>
      <c r="F28" s="189"/>
      <c r="G28" s="104"/>
      <c r="H28" s="105"/>
    </row>
    <row r="29" spans="2:8" ht="33" customHeight="1" x14ac:dyDescent="0.25">
      <c r="B29" s="101"/>
      <c r="C29" s="193" t="s">
        <v>37</v>
      </c>
      <c r="D29" s="194"/>
      <c r="E29" s="188" t="s">
        <v>38</v>
      </c>
      <c r="F29" s="189"/>
      <c r="G29" s="104"/>
      <c r="H29" s="105"/>
    </row>
    <row r="30" spans="2:8" ht="30" customHeight="1" x14ac:dyDescent="0.25">
      <c r="B30" s="101"/>
      <c r="C30" s="193" t="s">
        <v>39</v>
      </c>
      <c r="D30" s="194"/>
      <c r="E30" s="188" t="s">
        <v>40</v>
      </c>
      <c r="F30" s="189"/>
      <c r="G30" s="104"/>
      <c r="H30" s="105"/>
    </row>
    <row r="31" spans="2:8" ht="35.25" customHeight="1" x14ac:dyDescent="0.25">
      <c r="B31" s="101"/>
      <c r="C31" s="193" t="s">
        <v>41</v>
      </c>
      <c r="D31" s="194"/>
      <c r="E31" s="188" t="s">
        <v>42</v>
      </c>
      <c r="F31" s="189"/>
      <c r="G31" s="104"/>
      <c r="H31" s="105"/>
    </row>
    <row r="32" spans="2:8" ht="31.5" customHeight="1" x14ac:dyDescent="0.25">
      <c r="B32" s="101"/>
      <c r="C32" s="193" t="s">
        <v>43</v>
      </c>
      <c r="D32" s="194"/>
      <c r="E32" s="188" t="s">
        <v>44</v>
      </c>
      <c r="F32" s="189"/>
      <c r="G32" s="104"/>
      <c r="H32" s="105"/>
    </row>
    <row r="33" spans="2:8" ht="35.25" customHeight="1" x14ac:dyDescent="0.25">
      <c r="B33" s="101"/>
      <c r="C33" s="193" t="s">
        <v>45</v>
      </c>
      <c r="D33" s="194"/>
      <c r="E33" s="188" t="s">
        <v>46</v>
      </c>
      <c r="F33" s="189"/>
      <c r="G33" s="104"/>
      <c r="H33" s="105"/>
    </row>
    <row r="34" spans="2:8" ht="59.25" customHeight="1" x14ac:dyDescent="0.25">
      <c r="B34" s="101"/>
      <c r="C34" s="193" t="s">
        <v>47</v>
      </c>
      <c r="D34" s="194"/>
      <c r="E34" s="188" t="s">
        <v>48</v>
      </c>
      <c r="F34" s="189"/>
      <c r="G34" s="104"/>
      <c r="H34" s="105"/>
    </row>
    <row r="35" spans="2:8" ht="29.25" customHeight="1" x14ac:dyDescent="0.25">
      <c r="B35" s="101"/>
      <c r="C35" s="193" t="s">
        <v>49</v>
      </c>
      <c r="D35" s="194"/>
      <c r="E35" s="188" t="s">
        <v>50</v>
      </c>
      <c r="F35" s="189"/>
      <c r="G35" s="104"/>
      <c r="H35" s="105"/>
    </row>
    <row r="36" spans="2:8" ht="82.5" customHeight="1" x14ac:dyDescent="0.25">
      <c r="B36" s="101"/>
      <c r="C36" s="193" t="s">
        <v>51</v>
      </c>
      <c r="D36" s="194"/>
      <c r="E36" s="188" t="s">
        <v>52</v>
      </c>
      <c r="F36" s="189"/>
      <c r="G36" s="104"/>
      <c r="H36" s="105"/>
    </row>
    <row r="37" spans="2:8" ht="46.5" customHeight="1" x14ac:dyDescent="0.25">
      <c r="B37" s="101"/>
      <c r="C37" s="193" t="s">
        <v>53</v>
      </c>
      <c r="D37" s="194"/>
      <c r="E37" s="188" t="s">
        <v>54</v>
      </c>
      <c r="F37" s="189"/>
      <c r="G37" s="104"/>
      <c r="H37" s="105"/>
    </row>
    <row r="38" spans="2:8" ht="6.75" customHeight="1" thickBot="1" x14ac:dyDescent="0.3">
      <c r="B38" s="101"/>
      <c r="C38" s="195"/>
      <c r="D38" s="196"/>
      <c r="E38" s="197"/>
      <c r="F38" s="198"/>
      <c r="G38" s="104"/>
      <c r="H38" s="105"/>
    </row>
    <row r="39" spans="2:8" ht="15.75" thickTop="1" x14ac:dyDescent="0.25">
      <c r="B39" s="101"/>
      <c r="C39" s="102"/>
      <c r="D39" s="102"/>
      <c r="E39" s="103"/>
      <c r="F39" s="103"/>
      <c r="G39" s="104"/>
      <c r="H39" s="105"/>
    </row>
    <row r="40" spans="2:8" ht="21" customHeight="1" x14ac:dyDescent="0.25">
      <c r="B40" s="190" t="s">
        <v>55</v>
      </c>
      <c r="C40" s="191"/>
      <c r="D40" s="191"/>
      <c r="E40" s="191"/>
      <c r="F40" s="191"/>
      <c r="G40" s="191"/>
      <c r="H40" s="192"/>
    </row>
    <row r="41" spans="2:8" ht="20.25" customHeight="1" x14ac:dyDescent="0.25">
      <c r="B41" s="190" t="s">
        <v>56</v>
      </c>
      <c r="C41" s="191"/>
      <c r="D41" s="191"/>
      <c r="E41" s="191"/>
      <c r="F41" s="191"/>
      <c r="G41" s="191"/>
      <c r="H41" s="192"/>
    </row>
    <row r="42" spans="2:8" ht="20.25" customHeight="1" x14ac:dyDescent="0.25">
      <c r="B42" s="190" t="s">
        <v>57</v>
      </c>
      <c r="C42" s="191"/>
      <c r="D42" s="191"/>
      <c r="E42" s="191"/>
      <c r="F42" s="191"/>
      <c r="G42" s="191"/>
      <c r="H42" s="192"/>
    </row>
    <row r="43" spans="2:8" ht="20.25" customHeight="1" x14ac:dyDescent="0.25">
      <c r="B43" s="190" t="s">
        <v>58</v>
      </c>
      <c r="C43" s="191"/>
      <c r="D43" s="191"/>
      <c r="E43" s="191"/>
      <c r="F43" s="191"/>
      <c r="G43" s="191"/>
      <c r="H43" s="192"/>
    </row>
    <row r="44" spans="2:8" x14ac:dyDescent="0.25">
      <c r="B44" s="190" t="s">
        <v>59</v>
      </c>
      <c r="C44" s="191"/>
      <c r="D44" s="191"/>
      <c r="E44" s="191"/>
      <c r="F44" s="191"/>
      <c r="G44" s="191"/>
      <c r="H44" s="192"/>
    </row>
    <row r="45" spans="2:8" ht="15.75" thickBot="1" x14ac:dyDescent="0.3">
      <c r="B45" s="106"/>
      <c r="C45" s="107"/>
      <c r="D45" s="107"/>
      <c r="E45" s="107"/>
      <c r="F45" s="107"/>
      <c r="G45" s="107"/>
      <c r="H45" s="10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118</v>
      </c>
    </row>
    <row r="4" spans="1:1" x14ac:dyDescent="0.2">
      <c r="A4" s="7" t="s">
        <v>253</v>
      </c>
    </row>
    <row r="5" spans="1:1" x14ac:dyDescent="0.2">
      <c r="A5" s="7" t="s">
        <v>255</v>
      </c>
    </row>
    <row r="6" spans="1:1" x14ac:dyDescent="0.2">
      <c r="A6" s="7" t="s">
        <v>257</v>
      </c>
    </row>
    <row r="7" spans="1:1" x14ac:dyDescent="0.2">
      <c r="A7" s="7" t="s">
        <v>119</v>
      </c>
    </row>
    <row r="8" spans="1:1" x14ac:dyDescent="0.2">
      <c r="A8" s="7" t="s">
        <v>120</v>
      </c>
    </row>
    <row r="9" spans="1:1" x14ac:dyDescent="0.2">
      <c r="A9" s="7" t="s">
        <v>263</v>
      </c>
    </row>
    <row r="10" spans="1:1" x14ac:dyDescent="0.2">
      <c r="A10" s="7" t="s">
        <v>121</v>
      </c>
    </row>
    <row r="11" spans="1:1" x14ac:dyDescent="0.2">
      <c r="A11" s="7" t="s">
        <v>266</v>
      </c>
    </row>
    <row r="12" spans="1:1" x14ac:dyDescent="0.2">
      <c r="A12" s="7" t="s">
        <v>284</v>
      </c>
    </row>
    <row r="13" spans="1:1" x14ac:dyDescent="0.2">
      <c r="A13" s="7" t="s">
        <v>285</v>
      </c>
    </row>
    <row r="14" spans="1:1" x14ac:dyDescent="0.2">
      <c r="A14" s="7" t="s">
        <v>286</v>
      </c>
    </row>
    <row r="16" spans="1:1" x14ac:dyDescent="0.2">
      <c r="A16" s="7" t="s">
        <v>287</v>
      </c>
    </row>
    <row r="17" spans="1:1" x14ac:dyDescent="0.2">
      <c r="A17" s="7" t="s">
        <v>272</v>
      </c>
    </row>
    <row r="18" spans="1:1" x14ac:dyDescent="0.2">
      <c r="A18" s="7" t="s">
        <v>150</v>
      </c>
    </row>
    <row r="20" spans="1:1" x14ac:dyDescent="0.2">
      <c r="A20" s="7" t="s">
        <v>276</v>
      </c>
    </row>
    <row r="21" spans="1:1" x14ac:dyDescent="0.2">
      <c r="A21" s="7" t="s">
        <v>128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V21"/>
  <sheetViews>
    <sheetView showGridLines="0" tabSelected="1" topLeftCell="AO1" zoomScale="59" zoomScaleNormal="118" workbookViewId="0">
      <pane ySplit="10" topLeftCell="A13" activePane="bottomLeft" state="frozen"/>
      <selection activeCell="A8" sqref="A8"/>
      <selection pane="bottomLeft" activeCell="AU13" sqref="AU13"/>
    </sheetView>
  </sheetViews>
  <sheetFormatPr baseColWidth="10" defaultColWidth="11.42578125" defaultRowHeight="16.5" x14ac:dyDescent="0.3"/>
  <cols>
    <col min="1" max="1" width="4.7109375" style="2" customWidth="1"/>
    <col min="2" max="2" width="12" style="2" customWidth="1"/>
    <col min="3" max="3" width="12" style="2" hidden="1" customWidth="1"/>
    <col min="4" max="4" width="14.140625" style="2" hidden="1" customWidth="1"/>
    <col min="5" max="5" width="15.85546875" style="2" hidden="1" customWidth="1"/>
    <col min="6" max="6" width="16.140625" style="2" hidden="1" customWidth="1"/>
    <col min="7" max="7" width="32.42578125" style="1" customWidth="1"/>
    <col min="8" max="10" width="19" style="4" hidden="1" customWidth="1"/>
    <col min="11" max="11" width="17.7109375" style="1" hidden="1" customWidth="1"/>
    <col min="12" max="12" width="16.42578125" style="1" hidden="1" customWidth="1"/>
    <col min="13" max="13" width="6.28515625" style="1" hidden="1" customWidth="1"/>
    <col min="14" max="14" width="27.28515625" style="1" hidden="1" customWidth="1"/>
    <col min="15" max="15" width="30.42578125" style="1" hidden="1" customWidth="1"/>
    <col min="16" max="16" width="17.42578125" style="1" hidden="1" customWidth="1"/>
    <col min="17" max="17" width="6.28515625" style="1" hidden="1" customWidth="1"/>
    <col min="18" max="18" width="16" style="1" hidden="1" customWidth="1"/>
    <col min="19" max="19" width="5.7109375" style="1" hidden="1" customWidth="1"/>
    <col min="20" max="21" width="31" style="1" customWidth="1"/>
    <col min="22" max="22" width="15.140625" style="1" hidden="1" customWidth="1"/>
    <col min="23" max="23" width="6.7109375" style="1" hidden="1" customWidth="1"/>
    <col min="24" max="24" width="5" style="1" hidden="1" customWidth="1"/>
    <col min="25" max="25" width="5.42578125" style="1" hidden="1" customWidth="1"/>
    <col min="26" max="26" width="7.140625" style="1" hidden="1" customWidth="1"/>
    <col min="27" max="27" width="6.7109375" style="1" hidden="1" customWidth="1"/>
    <col min="28" max="28" width="7.42578125" style="1" hidden="1" customWidth="1"/>
    <col min="29" max="29" width="38.28515625" style="1" hidden="1" customWidth="1"/>
    <col min="30" max="30" width="8.7109375" style="1" hidden="1" customWidth="1"/>
    <col min="31" max="31" width="10.42578125" style="1" hidden="1" customWidth="1"/>
    <col min="32" max="32" width="9.28515625" style="1" hidden="1" customWidth="1"/>
    <col min="33" max="33" width="9.140625" style="1" hidden="1" customWidth="1"/>
    <col min="34" max="34" width="8.42578125" style="1" hidden="1" customWidth="1"/>
    <col min="35" max="35" width="7.28515625" style="1" hidden="1" customWidth="1"/>
    <col min="36" max="36" width="23" style="1" customWidth="1"/>
    <col min="37" max="37" width="18.7109375" style="138" customWidth="1"/>
    <col min="38" max="38" width="16.7109375" style="1" customWidth="1"/>
    <col min="39" max="39" width="14.7109375" style="1" customWidth="1"/>
    <col min="40" max="40" width="86.5703125" style="1" customWidth="1"/>
    <col min="41" max="41" width="16.85546875" style="1" customWidth="1"/>
    <col min="42" max="42" width="21" style="1" customWidth="1"/>
    <col min="43" max="43" width="22.140625" style="1" customWidth="1"/>
    <col min="44" max="44" width="65.42578125" style="5" customWidth="1"/>
    <col min="45" max="45" width="20.7109375" style="1" customWidth="1"/>
    <col min="46" max="46" width="15.42578125" style="1" customWidth="1"/>
    <col min="47" max="47" width="83.7109375" style="1" customWidth="1"/>
    <col min="48" max="48" width="17.28515625" style="1" customWidth="1"/>
    <col min="49" max="16384" width="11.42578125" style="1"/>
  </cols>
  <sheetData>
    <row r="1" spans="1:74" ht="38.450000000000003" customHeight="1" x14ac:dyDescent="0.3">
      <c r="A1" s="206" t="s">
        <v>60</v>
      </c>
      <c r="B1" s="206"/>
      <c r="C1" s="206"/>
      <c r="D1" s="206"/>
      <c r="E1" s="210" t="s">
        <v>61</v>
      </c>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0"/>
      <c r="AS1" s="210"/>
      <c r="AT1" s="210"/>
      <c r="AU1" s="199" t="s">
        <v>62</v>
      </c>
      <c r="AV1" s="199"/>
    </row>
    <row r="2" spans="1:74" ht="33.6" customHeight="1" x14ac:dyDescent="0.3">
      <c r="A2" s="206"/>
      <c r="B2" s="206"/>
      <c r="C2" s="206"/>
      <c r="D2" s="206"/>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199" t="s">
        <v>63</v>
      </c>
      <c r="AV2" s="199"/>
    </row>
    <row r="3" spans="1:74" ht="13.9" customHeight="1" x14ac:dyDescent="0.3">
      <c r="A3" s="206"/>
      <c r="B3" s="206"/>
      <c r="C3" s="206"/>
      <c r="D3" s="206"/>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199" t="s">
        <v>64</v>
      </c>
      <c r="AV3" s="199"/>
    </row>
    <row r="4" spans="1:74" ht="13.9" customHeight="1" x14ac:dyDescent="0.3">
      <c r="A4" s="206"/>
      <c r="B4" s="206"/>
      <c r="C4" s="206"/>
      <c r="D4" s="206"/>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199" t="s">
        <v>65</v>
      </c>
      <c r="AV4" s="199"/>
    </row>
    <row r="5" spans="1:74" ht="26.25" customHeight="1" x14ac:dyDescent="0.3">
      <c r="A5" s="222" t="s">
        <v>66</v>
      </c>
      <c r="B5" s="223"/>
      <c r="C5" s="201" t="s">
        <v>67</v>
      </c>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3"/>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30" customHeight="1" x14ac:dyDescent="0.3">
      <c r="A6" s="222" t="s">
        <v>68</v>
      </c>
      <c r="B6" s="223"/>
      <c r="C6" s="204" t="s">
        <v>69</v>
      </c>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3"/>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24" customHeight="1" x14ac:dyDescent="0.3">
      <c r="A7" s="222" t="s">
        <v>70</v>
      </c>
      <c r="B7" s="223"/>
      <c r="C7" s="201" t="s">
        <v>71</v>
      </c>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3"/>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x14ac:dyDescent="0.3">
      <c r="A8" s="207" t="s">
        <v>72</v>
      </c>
      <c r="B8" s="207"/>
      <c r="C8" s="207"/>
      <c r="D8" s="207"/>
      <c r="E8" s="208"/>
      <c r="F8" s="208"/>
      <c r="G8" s="208"/>
      <c r="H8" s="208"/>
      <c r="I8" s="208"/>
      <c r="J8" s="208"/>
      <c r="K8" s="208"/>
      <c r="L8" s="208" t="s">
        <v>73</v>
      </c>
      <c r="M8" s="208"/>
      <c r="N8" s="208"/>
      <c r="O8" s="208"/>
      <c r="P8" s="208"/>
      <c r="Q8" s="208"/>
      <c r="R8" s="208"/>
      <c r="S8" s="208" t="s">
        <v>74</v>
      </c>
      <c r="T8" s="208"/>
      <c r="U8" s="208"/>
      <c r="V8" s="208"/>
      <c r="W8" s="208"/>
      <c r="X8" s="208"/>
      <c r="Y8" s="208"/>
      <c r="Z8" s="208"/>
      <c r="AA8" s="208"/>
      <c r="AB8" s="208"/>
      <c r="AC8" s="208" t="s">
        <v>75</v>
      </c>
      <c r="AD8" s="208"/>
      <c r="AE8" s="208"/>
      <c r="AF8" s="208"/>
      <c r="AG8" s="208"/>
      <c r="AH8" s="208"/>
      <c r="AI8" s="208"/>
      <c r="AJ8" s="220" t="s">
        <v>76</v>
      </c>
      <c r="AK8" s="221"/>
      <c r="AL8" s="221"/>
      <c r="AM8" s="221"/>
      <c r="AN8" s="221"/>
      <c r="AO8" s="221"/>
      <c r="AP8" s="221"/>
      <c r="AQ8" s="221"/>
      <c r="AR8" s="221"/>
      <c r="AS8" s="221"/>
      <c r="AT8" s="221"/>
      <c r="AU8" s="221"/>
      <c r="AV8" s="221"/>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6.5" customHeight="1" x14ac:dyDescent="0.3">
      <c r="A9" s="209" t="s">
        <v>77</v>
      </c>
      <c r="B9" s="207" t="s">
        <v>78</v>
      </c>
      <c r="C9" s="207" t="s">
        <v>79</v>
      </c>
      <c r="D9" s="207" t="s">
        <v>15</v>
      </c>
      <c r="E9" s="200" t="s">
        <v>17</v>
      </c>
      <c r="F9" s="200" t="s">
        <v>19</v>
      </c>
      <c r="G9" s="207" t="s">
        <v>21</v>
      </c>
      <c r="H9" s="200" t="s">
        <v>23</v>
      </c>
      <c r="I9" s="200" t="s">
        <v>80</v>
      </c>
      <c r="J9" s="200" t="s">
        <v>81</v>
      </c>
      <c r="K9" s="200" t="s">
        <v>82</v>
      </c>
      <c r="L9" s="200" t="s">
        <v>83</v>
      </c>
      <c r="M9" s="207" t="s">
        <v>84</v>
      </c>
      <c r="N9" s="200" t="s">
        <v>85</v>
      </c>
      <c r="O9" s="200" t="s">
        <v>86</v>
      </c>
      <c r="P9" s="200" t="s">
        <v>87</v>
      </c>
      <c r="Q9" s="207" t="s">
        <v>84</v>
      </c>
      <c r="R9" s="200" t="s">
        <v>29</v>
      </c>
      <c r="S9" s="205" t="s">
        <v>88</v>
      </c>
      <c r="T9" s="200" t="s">
        <v>31</v>
      </c>
      <c r="U9" s="200" t="s">
        <v>89</v>
      </c>
      <c r="V9" s="200" t="s">
        <v>33</v>
      </c>
      <c r="W9" s="200" t="s">
        <v>90</v>
      </c>
      <c r="X9" s="200"/>
      <c r="Y9" s="200"/>
      <c r="Z9" s="200"/>
      <c r="AA9" s="200"/>
      <c r="AB9" s="200"/>
      <c r="AC9" s="205" t="s">
        <v>91</v>
      </c>
      <c r="AD9" s="205" t="s">
        <v>92</v>
      </c>
      <c r="AE9" s="205" t="s">
        <v>84</v>
      </c>
      <c r="AF9" s="205" t="s">
        <v>93</v>
      </c>
      <c r="AG9" s="205" t="s">
        <v>84</v>
      </c>
      <c r="AH9" s="205" t="s">
        <v>94</v>
      </c>
      <c r="AI9" s="205" t="s">
        <v>49</v>
      </c>
      <c r="AJ9" s="200" t="s">
        <v>76</v>
      </c>
      <c r="AK9" s="200" t="s">
        <v>95</v>
      </c>
      <c r="AL9" s="200" t="s">
        <v>96</v>
      </c>
      <c r="AM9" s="200" t="s">
        <v>97</v>
      </c>
      <c r="AN9" s="200" t="s">
        <v>98</v>
      </c>
      <c r="AO9" s="224" t="s">
        <v>288</v>
      </c>
      <c r="AP9" s="200" t="s">
        <v>53</v>
      </c>
      <c r="AQ9" s="200" t="s">
        <v>97</v>
      </c>
      <c r="AR9" s="200" t="s">
        <v>99</v>
      </c>
      <c r="AS9" s="200" t="s">
        <v>53</v>
      </c>
      <c r="AT9" s="200" t="s">
        <v>97</v>
      </c>
      <c r="AU9" s="200" t="s">
        <v>100</v>
      </c>
      <c r="AV9" s="200" t="s">
        <v>53</v>
      </c>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s="3" customFormat="1" ht="36.75" customHeight="1" x14ac:dyDescent="0.25">
      <c r="A10" s="209"/>
      <c r="B10" s="207"/>
      <c r="C10" s="207"/>
      <c r="D10" s="207"/>
      <c r="E10" s="200"/>
      <c r="F10" s="200"/>
      <c r="G10" s="207"/>
      <c r="H10" s="200"/>
      <c r="I10" s="200"/>
      <c r="J10" s="200"/>
      <c r="K10" s="200"/>
      <c r="L10" s="200"/>
      <c r="M10" s="207"/>
      <c r="N10" s="200"/>
      <c r="O10" s="200"/>
      <c r="P10" s="207"/>
      <c r="Q10" s="207"/>
      <c r="R10" s="200"/>
      <c r="S10" s="205"/>
      <c r="T10" s="200"/>
      <c r="U10" s="200"/>
      <c r="V10" s="200"/>
      <c r="W10" s="134" t="s">
        <v>78</v>
      </c>
      <c r="X10" s="134" t="s">
        <v>101</v>
      </c>
      <c r="Y10" s="134" t="s">
        <v>102</v>
      </c>
      <c r="Z10" s="134" t="s">
        <v>103</v>
      </c>
      <c r="AA10" s="134" t="s">
        <v>104</v>
      </c>
      <c r="AB10" s="134" t="s">
        <v>105</v>
      </c>
      <c r="AC10" s="205"/>
      <c r="AD10" s="205"/>
      <c r="AE10" s="205"/>
      <c r="AF10" s="205"/>
      <c r="AG10" s="205"/>
      <c r="AH10" s="205"/>
      <c r="AI10" s="205"/>
      <c r="AJ10" s="200"/>
      <c r="AK10" s="200"/>
      <c r="AL10" s="200"/>
      <c r="AM10" s="200"/>
      <c r="AN10" s="200"/>
      <c r="AO10" s="225"/>
      <c r="AP10" s="200"/>
      <c r="AQ10" s="200"/>
      <c r="AR10" s="200"/>
      <c r="AS10" s="200"/>
      <c r="AT10" s="200"/>
      <c r="AU10" s="200"/>
      <c r="AV10" s="200"/>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s="3" customFormat="1" ht="12.75" customHeight="1" x14ac:dyDescent="0.25">
      <c r="A11" s="134"/>
      <c r="B11" s="137"/>
      <c r="C11" s="137"/>
      <c r="D11" s="137"/>
      <c r="E11" s="135"/>
      <c r="F11" s="135"/>
      <c r="G11" s="137"/>
      <c r="H11" s="135"/>
      <c r="I11" s="135"/>
      <c r="J11" s="135"/>
      <c r="K11" s="135"/>
      <c r="L11" s="135"/>
      <c r="M11" s="137"/>
      <c r="N11" s="135"/>
      <c r="O11" s="135"/>
      <c r="P11" s="137"/>
      <c r="Q11" s="137"/>
      <c r="R11" s="135"/>
      <c r="S11" s="136"/>
      <c r="T11" s="135"/>
      <c r="U11" s="135"/>
      <c r="V11" s="135"/>
      <c r="W11" s="134"/>
      <c r="X11" s="134"/>
      <c r="Y11" s="134"/>
      <c r="Z11" s="134"/>
      <c r="AA11" s="134"/>
      <c r="AB11" s="134"/>
      <c r="AC11" s="136"/>
      <c r="AD11" s="136"/>
      <c r="AE11" s="136"/>
      <c r="AF11" s="136"/>
      <c r="AG11" s="136"/>
      <c r="AH11" s="136"/>
      <c r="AI11" s="136"/>
      <c r="AJ11" s="135"/>
      <c r="AK11" s="135"/>
      <c r="AL11" s="135"/>
      <c r="AM11" s="135"/>
      <c r="AN11" s="135"/>
      <c r="AO11" s="135"/>
      <c r="AP11" s="135"/>
      <c r="AQ11" s="135"/>
      <c r="AR11" s="135"/>
      <c r="AS11" s="135"/>
      <c r="AT11" s="135"/>
      <c r="AU11" s="135"/>
      <c r="AV11" s="135"/>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s="152" customFormat="1" ht="260.25" customHeight="1" x14ac:dyDescent="0.25">
      <c r="A12" s="116">
        <v>1</v>
      </c>
      <c r="B12" s="116" t="s">
        <v>106</v>
      </c>
      <c r="C12" s="139" t="s">
        <v>107</v>
      </c>
      <c r="D12" s="117" t="s">
        <v>108</v>
      </c>
      <c r="E12" s="140" t="s">
        <v>109</v>
      </c>
      <c r="F12" s="140" t="s">
        <v>110</v>
      </c>
      <c r="G12" s="117" t="s">
        <v>111</v>
      </c>
      <c r="H12" s="117" t="s">
        <v>112</v>
      </c>
      <c r="I12" s="117" t="s">
        <v>113</v>
      </c>
      <c r="J12" s="117" t="s">
        <v>114</v>
      </c>
      <c r="K12" s="118">
        <v>10</v>
      </c>
      <c r="L12" s="141" t="str">
        <f t="shared" ref="L12:L14" si="0">IF(K12&lt;=0,"",IF(K12&lt;=2,"Muy Baja",IF(K12&lt;=24,"Baja",IF(K12&lt;=500,"Media",IF(K12&lt;=5000,"Alta","Muy Alta")))))</f>
        <v>Baja</v>
      </c>
      <c r="M12" s="142">
        <f t="shared" ref="M12:M14" si="1">IF(L12="","",IF(L12="Muy Baja",0.2,IF(L12="Baja",0.4,IF(L12="Media",0.6,IF(L12="Alta",0.8,IF(L12="Muy Alta",1,))))))</f>
        <v>0.4</v>
      </c>
      <c r="N12" s="143" t="s">
        <v>115</v>
      </c>
      <c r="O12" s="142" t="str">
        <f>IF(NOT(ISERROR(MATCH(N12,'[1]Tabla Impacto'!$B$221:$B$223,0))),'[1]Tabla Impacto'!$F$223&amp;"Por favor no seleccionar los criterios de impacto(Afectación Económica o presupuestal y Pérdida Reputacional)",N12)</f>
        <v xml:space="preserve">     El riesgo afecta la imagen de la entidad con algunos usuarios de relevancia frente al logro de los objetivos</v>
      </c>
      <c r="P12" s="141" t="str">
        <f>IF(OR(O12='[1]Tabla Impacto'!$C$11,O12='[1]Tabla Impacto'!$D$11),"Leve",IF(OR(O12='[1]Tabla Impacto'!$C$12,O12='[1]Tabla Impacto'!$D$12),"Menor",IF(OR(O12='[1]Tabla Impacto'!$C$13,O12='[1]Tabla Impacto'!$D$13),"Moderado",IF(OR(O12='[1]Tabla Impacto'!$C$14,O12='[1]Tabla Impacto'!$D$14),"Mayor",IF(OR(O12='[1]Tabla Impacto'!$C$15,O12='[1]Tabla Impacto'!$D$15),"Catastrófico","")))))</f>
        <v>Moderado</v>
      </c>
      <c r="Q12" s="142">
        <f t="shared" ref="Q12:Q14" si="2">IF(P12="","",IF(P12="Leve",0.2,IF(P12="Menor",0.4,IF(P12="Moderado",0.6,IF(P12="Mayor",0.8,IF(P12="Catastrófico",1,))))))</f>
        <v>0.6</v>
      </c>
      <c r="R12" s="144" t="str">
        <f t="shared" ref="R12:R14" si="3">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16">
        <v>1</v>
      </c>
      <c r="T12" s="117" t="s">
        <v>116</v>
      </c>
      <c r="U12" s="117" t="s">
        <v>117</v>
      </c>
      <c r="V12" s="145" t="str">
        <f t="shared" ref="V12:V14" si="4">IF(OR(W12="Preventivo",W12="Detectivo"),"Probabilidad",IF(W12="Correctivo","Impacto",""))</f>
        <v>Probabilidad</v>
      </c>
      <c r="W12" s="146" t="s">
        <v>118</v>
      </c>
      <c r="X12" s="146" t="s">
        <v>119</v>
      </c>
      <c r="Y12" s="147" t="str">
        <f t="shared" ref="Y12:Y14" si="5">IF(AND(W12="Preventivo",X12="Automático"),"50%",IF(AND(W12="Preventivo",X12="Manual"),"40%",IF(AND(W12="Detectivo",X12="Automático"),"40%",IF(AND(W12="Detectivo",X12="Manual"),"30%",IF(AND(W12="Correctivo",X12="Automático"),"35%",IF(AND(W12="Correctivo",X12="Manual"),"25%",""))))))</f>
        <v>40%</v>
      </c>
      <c r="Z12" s="146" t="s">
        <v>120</v>
      </c>
      <c r="AA12" s="146" t="s">
        <v>121</v>
      </c>
      <c r="AB12" s="146" t="s">
        <v>122</v>
      </c>
      <c r="AC12" s="148">
        <f t="shared" ref="AC12:AC14" si="6">IFERROR(IF(V12="Probabilidad",(M12-(+M12*Y12)),IF(V12="Impacto",M12,"")),"")</f>
        <v>0.24</v>
      </c>
      <c r="AD12" s="149" t="str">
        <f t="shared" ref="AD12:AD14" si="7">IFERROR(IF(AC12="","",IF(AC12&lt;=0.2,"Muy Baja",IF(AC12&lt;=0.4,"Baja",IF(AC12&lt;=0.6,"Media",IF(AC12&lt;=0.8,"Alta","Muy Alta"))))),"")</f>
        <v>Baja</v>
      </c>
      <c r="AE12" s="147">
        <f t="shared" ref="AE12:AE14" si="8">+AC12</f>
        <v>0.24</v>
      </c>
      <c r="AF12" s="149" t="str">
        <f t="shared" ref="AF12:AF14" si="9">IFERROR(IF(AG12="","",IF(AG12&lt;=0.2,"Leve",IF(AG12&lt;=0.4,"Menor",IF(AG12&lt;=0.6,"Moderado",IF(AG12&lt;=0.8,"Mayor","Catastrófico"))))),"")</f>
        <v>Moderado</v>
      </c>
      <c r="AG12" s="147">
        <f t="shared" ref="AG12:AG14" si="10">IFERROR(IF(V12="Impacto",(Q12-(+Q12*Y12)),IF(V12="Probabilidad",Q12,"")),"")</f>
        <v>0.6</v>
      </c>
      <c r="AH12" s="150" t="str">
        <f t="shared" ref="AH12:AH14" si="11">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46" t="s">
        <v>123</v>
      </c>
      <c r="AJ12" s="117" t="s">
        <v>124</v>
      </c>
      <c r="AK12" s="117" t="s">
        <v>125</v>
      </c>
      <c r="AL12" s="119">
        <v>45350</v>
      </c>
      <c r="AM12" s="119">
        <v>45631</v>
      </c>
      <c r="AN12" s="154" t="s">
        <v>126</v>
      </c>
      <c r="AO12" s="156" t="s">
        <v>127</v>
      </c>
      <c r="AP12" s="118" t="s">
        <v>128</v>
      </c>
      <c r="AQ12" s="119">
        <v>45412</v>
      </c>
      <c r="AR12" s="157" t="s">
        <v>129</v>
      </c>
      <c r="AS12" s="118" t="s">
        <v>128</v>
      </c>
      <c r="AT12" s="119"/>
      <c r="AU12" s="154"/>
      <c r="AV12" s="118"/>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1"/>
      <c r="BV12" s="151"/>
    </row>
    <row r="13" spans="1:74" s="152" customFormat="1" ht="275.25" customHeight="1" x14ac:dyDescent="0.25">
      <c r="A13" s="116">
        <v>2</v>
      </c>
      <c r="B13" s="116" t="s">
        <v>106</v>
      </c>
      <c r="C13" s="139" t="s">
        <v>107</v>
      </c>
      <c r="D13" s="117" t="s">
        <v>130</v>
      </c>
      <c r="E13" s="140" t="s">
        <v>131</v>
      </c>
      <c r="F13" s="140" t="s">
        <v>132</v>
      </c>
      <c r="G13" s="117" t="s">
        <v>133</v>
      </c>
      <c r="H13" s="117" t="s">
        <v>112</v>
      </c>
      <c r="I13" s="117" t="s">
        <v>134</v>
      </c>
      <c r="J13" s="117" t="s">
        <v>135</v>
      </c>
      <c r="K13" s="118">
        <v>10</v>
      </c>
      <c r="L13" s="141" t="str">
        <f t="shared" si="0"/>
        <v>Baja</v>
      </c>
      <c r="M13" s="142">
        <f t="shared" si="1"/>
        <v>0.4</v>
      </c>
      <c r="N13" s="143" t="s">
        <v>115</v>
      </c>
      <c r="O13" s="142" t="str">
        <f>IF(NOT(ISERROR(MATCH(N13,'[1]Tabla Impacto'!$B$221:$B$223,0))),'[1]Tabla Impacto'!$F$223&amp;"Por favor no seleccionar los criterios de impacto(Afectación Económica o presupuestal y Pérdida Reputacional)",N13)</f>
        <v xml:space="preserve">     El riesgo afecta la imagen de la entidad con algunos usuarios de relevancia frente al logro de los objetivos</v>
      </c>
      <c r="P13" s="141" t="str">
        <f>IF(OR(O13='[1]Tabla Impacto'!$C$11,O13='[1]Tabla Impacto'!$D$11),"Leve",IF(OR(O13='[1]Tabla Impacto'!$C$12,O13='[1]Tabla Impacto'!$D$12),"Menor",IF(OR(O13='[1]Tabla Impacto'!$C$13,O13='[1]Tabla Impacto'!$D$13),"Moderado",IF(OR(O13='[1]Tabla Impacto'!$C$14,O13='[1]Tabla Impacto'!$D$14),"Mayor",IF(OR(O13='[1]Tabla Impacto'!$C$15,O13='[1]Tabla Impacto'!$D$15),"Catastrófico","")))))</f>
        <v>Moderado</v>
      </c>
      <c r="Q13" s="142">
        <f t="shared" si="2"/>
        <v>0.6</v>
      </c>
      <c r="R13" s="144" t="str">
        <f t="shared" si="3"/>
        <v>Moderado</v>
      </c>
      <c r="S13" s="116">
        <v>2</v>
      </c>
      <c r="T13" s="117" t="s">
        <v>136</v>
      </c>
      <c r="U13" s="117" t="s">
        <v>137</v>
      </c>
      <c r="V13" s="145" t="str">
        <f t="shared" si="4"/>
        <v>Probabilidad</v>
      </c>
      <c r="W13" s="146" t="s">
        <v>118</v>
      </c>
      <c r="X13" s="146" t="s">
        <v>119</v>
      </c>
      <c r="Y13" s="147" t="str">
        <f t="shared" si="5"/>
        <v>40%</v>
      </c>
      <c r="Z13" s="146" t="s">
        <v>120</v>
      </c>
      <c r="AA13" s="146" t="s">
        <v>121</v>
      </c>
      <c r="AB13" s="146" t="s">
        <v>122</v>
      </c>
      <c r="AC13" s="148">
        <f t="shared" si="6"/>
        <v>0.24</v>
      </c>
      <c r="AD13" s="149" t="str">
        <f t="shared" si="7"/>
        <v>Baja</v>
      </c>
      <c r="AE13" s="147">
        <f t="shared" si="8"/>
        <v>0.24</v>
      </c>
      <c r="AF13" s="149" t="str">
        <f t="shared" si="9"/>
        <v>Moderado</v>
      </c>
      <c r="AG13" s="147">
        <f t="shared" si="10"/>
        <v>0.6</v>
      </c>
      <c r="AH13" s="150" t="str">
        <f t="shared" si="11"/>
        <v>Moderado</v>
      </c>
      <c r="AI13" s="146" t="s">
        <v>123</v>
      </c>
      <c r="AJ13" s="117" t="s">
        <v>138</v>
      </c>
      <c r="AK13" s="117" t="s">
        <v>139</v>
      </c>
      <c r="AL13" s="119">
        <v>45350</v>
      </c>
      <c r="AM13" s="119">
        <v>45631</v>
      </c>
      <c r="AN13" s="154" t="s">
        <v>140</v>
      </c>
      <c r="AO13" s="155" t="s">
        <v>127</v>
      </c>
      <c r="AP13" s="118" t="s">
        <v>128</v>
      </c>
      <c r="AQ13" s="119">
        <v>45412</v>
      </c>
      <c r="AR13" s="157" t="s">
        <v>141</v>
      </c>
      <c r="AS13" s="118" t="s">
        <v>128</v>
      </c>
      <c r="AT13" s="119"/>
      <c r="AU13" s="154"/>
      <c r="AV13" s="118"/>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1"/>
    </row>
    <row r="14" spans="1:74" s="2" customFormat="1" ht="227.25" customHeight="1" x14ac:dyDescent="0.25">
      <c r="A14" s="116">
        <v>3</v>
      </c>
      <c r="B14" s="116" t="s">
        <v>142</v>
      </c>
      <c r="C14" s="139" t="s">
        <v>107</v>
      </c>
      <c r="D14" s="117" t="s">
        <v>108</v>
      </c>
      <c r="E14" s="140" t="s">
        <v>143</v>
      </c>
      <c r="F14" s="140" t="s">
        <v>144</v>
      </c>
      <c r="G14" s="117" t="s">
        <v>145</v>
      </c>
      <c r="H14" s="117" t="s">
        <v>112</v>
      </c>
      <c r="I14" s="117" t="s">
        <v>146</v>
      </c>
      <c r="J14" s="117" t="s">
        <v>147</v>
      </c>
      <c r="K14" s="118">
        <v>10</v>
      </c>
      <c r="L14" s="141" t="str">
        <f t="shared" si="0"/>
        <v>Baja</v>
      </c>
      <c r="M14" s="142">
        <f t="shared" si="1"/>
        <v>0.4</v>
      </c>
      <c r="N14" s="143" t="s">
        <v>115</v>
      </c>
      <c r="O14" s="142" t="str">
        <f ca="1">IF(NOT(ISERROR(MATCH(N14,_xlfn.ANCHORARRAY(#REF!),0))),#REF!&amp;"Por favor no seleccionar los criterios de impacto",N14)</f>
        <v xml:space="preserve">     El riesgo afecta la imagen de la entidad con algunos usuarios de relevancia frente al logro de los objetivos</v>
      </c>
      <c r="P14" s="141" t="str">
        <f ca="1">IF(OR(O14='[1]Tabla Impacto'!$C$11,O14='[1]Tabla Impacto'!$D$11),"Leve",IF(OR(O14='[1]Tabla Impacto'!$C$12,O14='[1]Tabla Impacto'!$D$12),"Menor",IF(OR(O14='[1]Tabla Impacto'!$C$13,O14='[1]Tabla Impacto'!$D$13),"Moderado",IF(OR(O14='[1]Tabla Impacto'!$C$14,O14='[1]Tabla Impacto'!$D$14),"Mayor",IF(OR(O14='[1]Tabla Impacto'!$C$15,O14='[1]Tabla Impacto'!$D$15),"Catastrófico","")))))</f>
        <v>Moderado</v>
      </c>
      <c r="Q14" s="142">
        <f t="shared" ca="1" si="2"/>
        <v>0.6</v>
      </c>
      <c r="R14" s="144" t="str">
        <f t="shared" ca="1" si="3"/>
        <v>Moderado</v>
      </c>
      <c r="S14" s="116">
        <v>3</v>
      </c>
      <c r="T14" s="117" t="s">
        <v>148</v>
      </c>
      <c r="U14" s="117" t="s">
        <v>149</v>
      </c>
      <c r="V14" s="145" t="str">
        <f t="shared" si="4"/>
        <v>Probabilidad</v>
      </c>
      <c r="W14" s="146" t="s">
        <v>118</v>
      </c>
      <c r="X14" s="146" t="s">
        <v>119</v>
      </c>
      <c r="Y14" s="147" t="str">
        <f t="shared" si="5"/>
        <v>40%</v>
      </c>
      <c r="Z14" s="146" t="s">
        <v>120</v>
      </c>
      <c r="AA14" s="146" t="s">
        <v>121</v>
      </c>
      <c r="AB14" s="146" t="s">
        <v>122</v>
      </c>
      <c r="AC14" s="148">
        <f t="shared" si="6"/>
        <v>0.24</v>
      </c>
      <c r="AD14" s="149" t="str">
        <f t="shared" si="7"/>
        <v>Baja</v>
      </c>
      <c r="AE14" s="147">
        <f t="shared" si="8"/>
        <v>0.24</v>
      </c>
      <c r="AF14" s="149" t="str">
        <f t="shared" ca="1" si="9"/>
        <v>Moderado</v>
      </c>
      <c r="AG14" s="147">
        <f t="shared" ca="1" si="10"/>
        <v>0.6</v>
      </c>
      <c r="AH14" s="150" t="str">
        <f t="shared" ca="1" si="11"/>
        <v>Moderado</v>
      </c>
      <c r="AI14" s="146" t="s">
        <v>150</v>
      </c>
      <c r="AJ14" s="117" t="s">
        <v>151</v>
      </c>
      <c r="AK14" s="117" t="s">
        <v>152</v>
      </c>
      <c r="AL14" s="119">
        <v>45350</v>
      </c>
      <c r="AM14" s="119">
        <v>45631</v>
      </c>
      <c r="AN14" s="154" t="s">
        <v>153</v>
      </c>
      <c r="AO14" s="155" t="s">
        <v>127</v>
      </c>
      <c r="AP14" s="118" t="s">
        <v>128</v>
      </c>
      <c r="AQ14" s="119">
        <v>45412</v>
      </c>
      <c r="AR14" s="157" t="s">
        <v>154</v>
      </c>
      <c r="AS14" s="118" t="s">
        <v>128</v>
      </c>
      <c r="AT14" s="119"/>
      <c r="AU14" s="154"/>
      <c r="AV14" s="118"/>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row>
    <row r="15" spans="1:74" ht="49.5" customHeight="1" x14ac:dyDescent="0.3">
      <c r="A15" s="115"/>
      <c r="B15" s="133"/>
      <c r="C15" s="133"/>
      <c r="D15" s="211" t="s">
        <v>155</v>
      </c>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3"/>
    </row>
    <row r="17" spans="1:44" x14ac:dyDescent="0.3">
      <c r="A17" s="120"/>
      <c r="B17" s="121"/>
      <c r="C17" s="121"/>
      <c r="D17" s="121"/>
      <c r="E17" s="121"/>
      <c r="F17" s="121"/>
      <c r="G17" s="121"/>
      <c r="H17" s="1"/>
      <c r="I17" s="1"/>
      <c r="J17" s="1"/>
      <c r="L17" s="124"/>
      <c r="M17" s="121"/>
      <c r="N17" s="121"/>
      <c r="O17" s="121"/>
      <c r="P17" s="121"/>
      <c r="Q17" s="121"/>
      <c r="R17" s="121"/>
      <c r="S17" s="121"/>
      <c r="T17" s="121"/>
      <c r="U17" s="121"/>
      <c r="V17" s="125"/>
      <c r="W17" s="125"/>
      <c r="X17" s="121"/>
      <c r="Y17" s="121"/>
      <c r="Z17" s="121"/>
      <c r="AA17" s="121"/>
      <c r="AB17" s="121"/>
      <c r="AC17" s="121"/>
      <c r="AD17" s="121"/>
      <c r="AE17" s="121"/>
      <c r="AF17" s="121"/>
      <c r="AG17" s="121"/>
      <c r="AH17" s="121"/>
      <c r="AI17" s="126"/>
      <c r="AJ17" s="126"/>
      <c r="AK17" s="121"/>
      <c r="AL17" s="121"/>
      <c r="AM17" s="121"/>
      <c r="AN17" s="121"/>
      <c r="AO17" s="121"/>
      <c r="AP17" s="121"/>
      <c r="AQ17" s="121"/>
      <c r="AR17" s="158"/>
    </row>
    <row r="18" spans="1:44" ht="18" x14ac:dyDescent="0.3">
      <c r="A18" s="214" t="s">
        <v>156</v>
      </c>
      <c r="B18" s="214"/>
      <c r="C18" s="214"/>
      <c r="D18" s="214"/>
      <c r="E18" s="214"/>
      <c r="F18" s="214"/>
      <c r="G18" s="214"/>
      <c r="H18" s="1"/>
      <c r="I18" s="1"/>
      <c r="J18" s="1"/>
      <c r="K18" s="217" t="s">
        <v>157</v>
      </c>
      <c r="L18" s="218"/>
      <c r="M18" s="218"/>
      <c r="N18" s="219"/>
      <c r="O18" s="121"/>
      <c r="P18" s="121"/>
      <c r="Q18" s="121"/>
      <c r="R18" s="121"/>
      <c r="S18" s="121"/>
      <c r="T18" s="121"/>
      <c r="U18" s="126"/>
      <c r="V18" s="125"/>
      <c r="W18" s="125"/>
      <c r="X18" s="121"/>
      <c r="Y18" s="125"/>
      <c r="Z18" s="125"/>
      <c r="AA18" s="121"/>
      <c r="AB18" s="121"/>
      <c r="AC18" s="121"/>
      <c r="AD18" s="121"/>
      <c r="AE18" s="121"/>
      <c r="AF18" s="121"/>
      <c r="AG18" s="121"/>
      <c r="AH18" s="121"/>
      <c r="AI18" s="121"/>
      <c r="AJ18" s="121"/>
      <c r="AK18" s="121"/>
      <c r="AL18" s="121"/>
      <c r="AM18" s="121"/>
      <c r="AN18" s="121"/>
      <c r="AO18" s="121"/>
      <c r="AP18" s="121"/>
      <c r="AQ18" s="121"/>
      <c r="AR18" s="158"/>
    </row>
    <row r="19" spans="1:44" ht="17.25" thickBot="1" x14ac:dyDescent="0.35">
      <c r="A19"/>
      <c r="B19"/>
      <c r="C19"/>
      <c r="D19"/>
      <c r="E19"/>
      <c r="F19"/>
      <c r="G19"/>
      <c r="H19" s="1"/>
      <c r="I19" s="1"/>
      <c r="J19" s="1"/>
      <c r="L19" s="122" t="str">
        <f>+IFERROR(VLOOKUP(H19,$H$174:$L$178,3,FALSE)*VLOOKUP(K19,$K$174:$L$178,3,FALSE),"")</f>
        <v/>
      </c>
      <c r="M19"/>
      <c r="N19"/>
      <c r="O19"/>
      <c r="P19"/>
      <c r="Q19"/>
      <c r="R19"/>
      <c r="S19"/>
      <c r="T19"/>
      <c r="U19"/>
      <c r="V19" s="122"/>
      <c r="W19" s="123"/>
      <c r="X19"/>
      <c r="Y19" s="123"/>
      <c r="Z19" s="123"/>
      <c r="AA19" s="128"/>
      <c r="AB19" s="128"/>
      <c r="AC19" s="128"/>
      <c r="AD19" s="128"/>
      <c r="AE19" s="127"/>
      <c r="AF19" s="127"/>
      <c r="AG19" s="128"/>
      <c r="AH19" s="129"/>
      <c r="AI19"/>
      <c r="AJ19"/>
      <c r="AK19" s="128"/>
      <c r="AL19" s="128"/>
      <c r="AM19"/>
      <c r="AN19" s="128"/>
      <c r="AO19" s="128"/>
      <c r="AP19"/>
      <c r="AQ19" s="128"/>
      <c r="AR19" s="75"/>
    </row>
    <row r="20" spans="1:44" ht="17.45" customHeight="1" thickTop="1" thickBot="1" x14ac:dyDescent="0.35">
      <c r="A20" s="215" t="s">
        <v>158</v>
      </c>
      <c r="B20" s="215"/>
      <c r="C20" s="215"/>
      <c r="D20" s="215"/>
      <c r="E20" s="215"/>
      <c r="F20" s="215"/>
      <c r="G20" s="131" t="s">
        <v>159</v>
      </c>
      <c r="H20" s="215" t="s">
        <v>160</v>
      </c>
      <c r="I20" s="215"/>
      <c r="J20" s="215"/>
      <c r="K20" s="215"/>
      <c r="L20" s="215"/>
      <c r="M20" s="215"/>
      <c r="N20" s="215"/>
      <c r="O20" s="132"/>
      <c r="P20" s="216" t="s">
        <v>161</v>
      </c>
      <c r="Q20" s="216"/>
      <c r="R20" s="216"/>
      <c r="S20" s="215" t="s">
        <v>162</v>
      </c>
      <c r="T20" s="215"/>
      <c r="U20" s="215"/>
      <c r="V20" s="215"/>
      <c r="W20" s="216">
        <v>1</v>
      </c>
      <c r="X20" s="216"/>
      <c r="Y20" s="216"/>
      <c r="Z20" s="216"/>
      <c r="AA20" s="130"/>
      <c r="AB20" s="130"/>
      <c r="AC20" s="130"/>
      <c r="AD20" s="130"/>
      <c r="AE20" s="130"/>
      <c r="AF20" s="130"/>
      <c r="AG20" s="130"/>
      <c r="AH20" s="130"/>
      <c r="AI20" s="130"/>
      <c r="AJ20" s="130"/>
      <c r="AK20" s="130"/>
      <c r="AL20" s="130"/>
      <c r="AM20" s="130"/>
      <c r="AN20" s="130"/>
      <c r="AO20" s="130"/>
      <c r="AP20" s="130"/>
      <c r="AQ20" s="130"/>
      <c r="AR20" s="159"/>
    </row>
    <row r="21" spans="1:44" ht="17.25" thickTop="1" x14ac:dyDescent="0.3"/>
  </sheetData>
  <dataConsolidate/>
  <mergeCells count="68">
    <mergeCell ref="AJ8:AV8"/>
    <mergeCell ref="AS9:AS10"/>
    <mergeCell ref="AT9:AT10"/>
    <mergeCell ref="AU9:AU10"/>
    <mergeCell ref="A5:B5"/>
    <mergeCell ref="A6:B6"/>
    <mergeCell ref="A7:B7"/>
    <mergeCell ref="A8:K8"/>
    <mergeCell ref="L8:R8"/>
    <mergeCell ref="S8:AB8"/>
    <mergeCell ref="S9:S10"/>
    <mergeCell ref="T9:T10"/>
    <mergeCell ref="B9:B10"/>
    <mergeCell ref="V9:V10"/>
    <mergeCell ref="AO9:AO10"/>
    <mergeCell ref="S20:V20"/>
    <mergeCell ref="W20:Z20"/>
    <mergeCell ref="A20:F20"/>
    <mergeCell ref="K18:N18"/>
    <mergeCell ref="H20:N20"/>
    <mergeCell ref="P20:R20"/>
    <mergeCell ref="D15:AP15"/>
    <mergeCell ref="A18:G18"/>
    <mergeCell ref="G9:G10"/>
    <mergeCell ref="F9:F10"/>
    <mergeCell ref="E9:E10"/>
    <mergeCell ref="D9:D10"/>
    <mergeCell ref="R9:R10"/>
    <mergeCell ref="N9:N10"/>
    <mergeCell ref="O9:O10"/>
    <mergeCell ref="AP9:AP10"/>
    <mergeCell ref="AN9:AN10"/>
    <mergeCell ref="AM9:AM10"/>
    <mergeCell ref="AL9:AL10"/>
    <mergeCell ref="AK9:AK10"/>
    <mergeCell ref="C9:C10"/>
    <mergeCell ref="A1:D4"/>
    <mergeCell ref="AF9:AF10"/>
    <mergeCell ref="AD9:AD10"/>
    <mergeCell ref="AE9:AE10"/>
    <mergeCell ref="K9:K10"/>
    <mergeCell ref="L9:L10"/>
    <mergeCell ref="M9:M10"/>
    <mergeCell ref="P9:P10"/>
    <mergeCell ref="Q9:Q10"/>
    <mergeCell ref="W9:AB9"/>
    <mergeCell ref="AC8:AI8"/>
    <mergeCell ref="A9:A10"/>
    <mergeCell ref="H9:H10"/>
    <mergeCell ref="E1:AT4"/>
    <mergeCell ref="AQ9:AQ10"/>
    <mergeCell ref="AR9:AR10"/>
    <mergeCell ref="AU1:AV1"/>
    <mergeCell ref="AU2:AV2"/>
    <mergeCell ref="AU3:AV3"/>
    <mergeCell ref="AU4:AV4"/>
    <mergeCell ref="AJ9:AJ10"/>
    <mergeCell ref="C7:AV7"/>
    <mergeCell ref="C6:AV6"/>
    <mergeCell ref="C5:AV5"/>
    <mergeCell ref="I9:I10"/>
    <mergeCell ref="J9:J10"/>
    <mergeCell ref="AI9:AI10"/>
    <mergeCell ref="AH9:AH10"/>
    <mergeCell ref="AG9:AG10"/>
    <mergeCell ref="AC9:AC10"/>
    <mergeCell ref="U9:U10"/>
    <mergeCell ref="AV9:AV10"/>
  </mergeCells>
  <conditionalFormatting sqref="L12:L14 AD12:AD14">
    <cfRule type="cellIs" dxfId="32" priority="72" operator="equal">
      <formula>"Muy Alta"</formula>
    </cfRule>
    <cfRule type="cellIs" dxfId="31" priority="73" operator="equal">
      <formula>"Alta"</formula>
    </cfRule>
    <cfRule type="cellIs" dxfId="30" priority="74" operator="equal">
      <formula>"Media"</formula>
    </cfRule>
    <cfRule type="cellIs" dxfId="29" priority="75" operator="equal">
      <formula>"Baja"</formula>
    </cfRule>
    <cfRule type="cellIs" dxfId="28" priority="76" operator="equal">
      <formula>"Muy Baja"</formula>
    </cfRule>
  </conditionalFormatting>
  <conditionalFormatting sqref="O12:O14">
    <cfRule type="containsText" dxfId="27" priority="58" operator="containsText" text="❌">
      <formula>NOT(ISERROR(SEARCH("❌",O12)))</formula>
    </cfRule>
  </conditionalFormatting>
  <conditionalFormatting sqref="P12:P14 AF12:AF14">
    <cfRule type="cellIs" dxfId="26" priority="67" operator="equal">
      <formula>"Catastrófico"</formula>
    </cfRule>
    <cfRule type="cellIs" dxfId="25" priority="68" operator="equal">
      <formula>"Mayor"</formula>
    </cfRule>
    <cfRule type="cellIs" dxfId="24" priority="69" operator="equal">
      <formula>"Moderado"</formula>
    </cfRule>
    <cfRule type="cellIs" dxfId="23" priority="70" operator="equal">
      <formula>"Menor"</formula>
    </cfRule>
    <cfRule type="cellIs" dxfId="22" priority="71" operator="equal">
      <formula>"Leve"</formula>
    </cfRule>
  </conditionalFormatting>
  <conditionalFormatting sqref="R14">
    <cfRule type="cellIs" dxfId="21" priority="59" operator="equal">
      <formula>"Extremo"</formula>
    </cfRule>
    <cfRule type="cellIs" dxfId="20" priority="60" operator="equal">
      <formula>"Alto"</formula>
    </cfRule>
    <cfRule type="cellIs" dxfId="19" priority="61" operator="equal">
      <formula>"Moderado"</formula>
    </cfRule>
    <cfRule type="cellIs" dxfId="18" priority="62" operator="equal">
      <formula>"Bajo"</formula>
    </cfRule>
  </conditionalFormatting>
  <conditionalFormatting sqref="R12:AH13">
    <cfRule type="cellIs" dxfId="17" priority="78" operator="equal">
      <formula>"Extremo"</formula>
    </cfRule>
    <cfRule type="cellIs" dxfId="16" priority="79" operator="equal">
      <formula>"Alto"</formula>
    </cfRule>
    <cfRule type="cellIs" dxfId="15" priority="80" operator="equal">
      <formula>"Moderado"</formula>
    </cfRule>
    <cfRule type="cellIs" dxfId="14" priority="81" operator="equal">
      <formula>"Bajo"</formula>
    </cfRule>
  </conditionalFormatting>
  <conditionalFormatting sqref="AE17:AE19">
    <cfRule type="cellIs" dxfId="13" priority="96" stopIfTrue="1" operator="equal">
      <formula>#REF!</formula>
    </cfRule>
    <cfRule type="cellIs" dxfId="12" priority="97" operator="equal">
      <formula>#REF!</formula>
    </cfRule>
    <cfRule type="cellIs" dxfId="11" priority="98" operator="equal">
      <formula>#REF!</formula>
    </cfRule>
  </conditionalFormatting>
  <conditionalFormatting sqref="AF17:AF19">
    <cfRule type="cellIs" dxfId="10" priority="99" stopIfTrue="1" operator="equal">
      <formula>#REF!</formula>
    </cfRule>
    <cfRule type="cellIs" dxfId="9" priority="100" stopIfTrue="1" operator="equal">
      <formula>#REF!</formula>
    </cfRule>
    <cfRule type="cellIs" dxfId="8" priority="101" stopIfTrue="1" operator="equal">
      <formula>#REF!</formula>
    </cfRule>
  </conditionalFormatting>
  <conditionalFormatting sqref="AH14">
    <cfRule type="cellIs" dxfId="7" priority="63" operator="equal">
      <formula>"Extremo"</formula>
    </cfRule>
    <cfRule type="cellIs" dxfId="6" priority="64" operator="equal">
      <formula>"Alto"</formula>
    </cfRule>
    <cfRule type="cellIs" dxfId="5" priority="65" operator="equal">
      <formula>"Moderado"</formula>
    </cfRule>
    <cfRule type="cellIs" dxfId="4" priority="66" operator="equal">
      <formula>"Bajo"</formula>
    </cfRule>
  </conditionalFormatting>
  <dataValidations count="7">
    <dataValidation type="list" allowBlank="1" showInputMessage="1" showErrorMessage="1" sqref="G17">
      <formula1>$G$174:$G$183</formula1>
    </dataValidation>
    <dataValidation type="list" allowBlank="1" showInputMessage="1" showErrorMessage="1" sqref="G19 AE19:AF19">
      <formula1>#REF!</formula1>
    </dataValidation>
    <dataValidation type="list" allowBlank="1" showInputMessage="1" showErrorMessage="1" sqref="V19">
      <formula1>$N$174:$N$175</formula1>
    </dataValidation>
    <dataValidation type="list" allowBlank="1" showInputMessage="1" showErrorMessage="1" sqref="K19">
      <formula1>$K$174:$K$178</formula1>
    </dataValidation>
    <dataValidation type="list" allowBlank="1" showInputMessage="1" showErrorMessage="1" sqref="H19:J19">
      <formula1>$H$174:$H$178</formula1>
    </dataValidation>
    <dataValidation type="list" allowBlank="1" showInputMessage="1" showErrorMessage="1" sqref="AQ19 AN19:AO19 AL19 W19 Y19:AD19">
      <formula1>$AL$174:$AL$181</formula1>
    </dataValidation>
    <dataValidation allowBlank="1" showInputMessage="1" showErrorMessage="1" error="Recuerde que las acciones se generan bajo la medida de mitigar el riesgo" sqref="AN14:AO14"/>
  </dataValidations>
  <hyperlinks>
    <hyperlink ref="AO12" r:id="rId1"/>
    <hyperlink ref="AO13" r:id="rId2"/>
    <hyperlink ref="AO14" r:id="rId3"/>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7">
        <x14:dataValidation type="list" allowBlank="1" showInputMessage="1" showErrorMessage="1">
          <x14:formula1>
            <xm:f>'Opciones Tratamiento'!$B$9:$B$10</xm:f>
          </x14:formula1>
          <xm:sqref>AV12:AV14 AS12:AS14 AP12:AP14</xm:sqref>
        </x14:dataValidation>
        <x14:dataValidation type="list" allowBlank="1" showInputMessage="1" showErrorMessage="1">
          <x14:formula1>
            <xm:f>Listas!$A$2:$A$9</xm:f>
          </x14:formula1>
          <xm:sqref>B12:B14</xm:sqref>
        </x14:dataValidation>
        <x14:dataValidation type="list" allowBlank="1" showInputMessage="1" showErrorMessage="1">
          <x14:formula1>
            <xm:f>Listas!$B$2:$B$7</xm:f>
          </x14:formula1>
          <xm:sqref>C12:C14</xm:sqref>
        </x14:dataValidation>
        <x14:dataValidation type="list" allowBlank="1" showInputMessage="1" showErrorMessage="1">
          <x14:formula1>
            <xm:f>Listas!$C$2:$C$6</xm:f>
          </x14:formula1>
          <xm:sqref>I12:I14</xm:sqref>
        </x14:dataValidation>
        <x14:dataValidation type="list" allowBlank="1" showInputMessage="1" showErrorMessage="1">
          <x14:formula1>
            <xm:f>Listas!$D$2:$D$5</xm:f>
          </x14:formula1>
          <xm:sqref>J12:J14</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AT12:AT14 AM12:AM14</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AN12:AO13 AU12:AU14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ColWidth="11.42578125" defaultRowHeight="15" x14ac:dyDescent="0.25"/>
  <sheetData>
    <row r="1" spans="1:4" x14ac:dyDescent="0.25">
      <c r="A1" t="s">
        <v>163</v>
      </c>
      <c r="B1" t="s">
        <v>79</v>
      </c>
      <c r="C1" t="s">
        <v>164</v>
      </c>
      <c r="D1" t="s">
        <v>165</v>
      </c>
    </row>
    <row r="2" spans="1:4" x14ac:dyDescent="0.25">
      <c r="A2" t="s">
        <v>166</v>
      </c>
      <c r="B2" t="s">
        <v>167</v>
      </c>
      <c r="C2" t="s">
        <v>168</v>
      </c>
      <c r="D2" t="s">
        <v>169</v>
      </c>
    </row>
    <row r="3" spans="1:4" x14ac:dyDescent="0.25">
      <c r="A3" t="s">
        <v>142</v>
      </c>
      <c r="B3" t="s">
        <v>170</v>
      </c>
      <c r="C3" t="s">
        <v>146</v>
      </c>
      <c r="D3" t="s">
        <v>135</v>
      </c>
    </row>
    <row r="4" spans="1:4" x14ac:dyDescent="0.25">
      <c r="A4" t="s">
        <v>171</v>
      </c>
      <c r="B4" t="s">
        <v>172</v>
      </c>
      <c r="C4" t="s">
        <v>113</v>
      </c>
      <c r="D4" t="s">
        <v>147</v>
      </c>
    </row>
    <row r="5" spans="1:4" x14ac:dyDescent="0.25">
      <c r="A5" t="s">
        <v>170</v>
      </c>
      <c r="B5" t="s">
        <v>173</v>
      </c>
      <c r="C5" t="s">
        <v>134</v>
      </c>
      <c r="D5" t="s">
        <v>114</v>
      </c>
    </row>
    <row r="6" spans="1:4" x14ac:dyDescent="0.25">
      <c r="A6" t="s">
        <v>106</v>
      </c>
      <c r="B6" t="s">
        <v>107</v>
      </c>
      <c r="C6" t="s">
        <v>114</v>
      </c>
    </row>
    <row r="7" spans="1:4" x14ac:dyDescent="0.25">
      <c r="A7" t="s">
        <v>174</v>
      </c>
      <c r="B7" t="s">
        <v>175</v>
      </c>
    </row>
    <row r="8" spans="1:4" x14ac:dyDescent="0.25">
      <c r="A8" t="s">
        <v>176</v>
      </c>
    </row>
    <row r="9" spans="1:4" x14ac:dyDescent="0.25">
      <c r="A9" t="s">
        <v>177</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8" sqref="L8:M9"/>
    </sheetView>
  </sheetViews>
  <sheetFormatPr baseColWidth="10" defaultColWidth="11.42578125"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226" t="s">
        <v>178</v>
      </c>
      <c r="C2" s="226"/>
      <c r="D2" s="226"/>
      <c r="E2" s="226"/>
      <c r="F2" s="226"/>
      <c r="G2" s="226"/>
      <c r="H2" s="226"/>
      <c r="I2" s="226"/>
      <c r="J2" s="263" t="s">
        <v>15</v>
      </c>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226"/>
      <c r="C3" s="226"/>
      <c r="D3" s="226"/>
      <c r="E3" s="226"/>
      <c r="F3" s="226"/>
      <c r="G3" s="226"/>
      <c r="H3" s="226"/>
      <c r="I3" s="226"/>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226"/>
      <c r="C4" s="226"/>
      <c r="D4" s="226"/>
      <c r="E4" s="226"/>
      <c r="F4" s="226"/>
      <c r="G4" s="226"/>
      <c r="H4" s="226"/>
      <c r="I4" s="226"/>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74" t="s">
        <v>179</v>
      </c>
      <c r="C6" s="274"/>
      <c r="D6" s="275"/>
      <c r="E6" s="264" t="s">
        <v>180</v>
      </c>
      <c r="F6" s="265"/>
      <c r="G6" s="265"/>
      <c r="H6" s="265"/>
      <c r="I6" s="266"/>
      <c r="J6" s="260" t="e">
        <f>IF(AND('Mapa final'!#REF!="Muy Alta",'Mapa final'!#REF!="Leve"),CONCATENATE("R",'Mapa final'!#REF!),"")</f>
        <v>#REF!</v>
      </c>
      <c r="K6" s="261"/>
      <c r="L6" s="261" t="str">
        <f>IF(AND('Mapa final'!$L$12="Muy Alta",'Mapa final'!$P$12="Leve"),CONCATENATE("R",'Mapa final'!$A$12),"")</f>
        <v/>
      </c>
      <c r="M6" s="261"/>
      <c r="N6" s="261" t="e">
        <f>IF(AND('Mapa final'!#REF!="Muy Alta",'Mapa final'!#REF!="Leve"),CONCATENATE("R",'Mapa final'!#REF!),"")</f>
        <v>#REF!</v>
      </c>
      <c r="O6" s="262"/>
      <c r="P6" s="260" t="e">
        <f>IF(AND('Mapa final'!#REF!="Muy Alta",'Mapa final'!#REF!="Menor"),CONCATENATE("R",'Mapa final'!#REF!),"")</f>
        <v>#REF!</v>
      </c>
      <c r="Q6" s="261"/>
      <c r="R6" s="261" t="str">
        <f>IF(AND('Mapa final'!$L$12="Muy Alta",'Mapa final'!$P$12="Menor"),CONCATENATE("R",'Mapa final'!$A$12),"")</f>
        <v/>
      </c>
      <c r="S6" s="261"/>
      <c r="T6" s="261" t="e">
        <f>IF(AND('Mapa final'!#REF!="Muy Alta",'Mapa final'!#REF!="Menor"),CONCATENATE("R",'Mapa final'!#REF!),"")</f>
        <v>#REF!</v>
      </c>
      <c r="U6" s="262"/>
      <c r="V6" s="260" t="e">
        <f>IF(AND('Mapa final'!#REF!="Muy Alta",'Mapa final'!#REF!="Moderado"),CONCATENATE("R",'Mapa final'!#REF!),"")</f>
        <v>#REF!</v>
      </c>
      <c r="W6" s="261"/>
      <c r="X6" s="261" t="str">
        <f>IF(AND('Mapa final'!$L$12="Muy Alta",'Mapa final'!$P$12="Moderado"),CONCATENATE("R",'Mapa final'!$A$12),"")</f>
        <v/>
      </c>
      <c r="Y6" s="261"/>
      <c r="Z6" s="261" t="e">
        <f>IF(AND('Mapa final'!#REF!="Muy Alta",'Mapa final'!#REF!="Moderado"),CONCATENATE("R",'Mapa final'!#REF!),"")</f>
        <v>#REF!</v>
      </c>
      <c r="AA6" s="262"/>
      <c r="AB6" s="260" t="e">
        <f>IF(AND('Mapa final'!#REF!="Muy Alta",'Mapa final'!#REF!="Mayor"),CONCATENATE("R",'Mapa final'!#REF!),"")</f>
        <v>#REF!</v>
      </c>
      <c r="AC6" s="261"/>
      <c r="AD6" s="261" t="str">
        <f>IF(AND('Mapa final'!$L$12="Muy Alta",'Mapa final'!$P$12="Mayor"),CONCATENATE("R",'Mapa final'!$A$12),"")</f>
        <v/>
      </c>
      <c r="AE6" s="261"/>
      <c r="AF6" s="261" t="e">
        <f>IF(AND('Mapa final'!#REF!="Muy Alta",'Mapa final'!#REF!="Mayor"),CONCATENATE("R",'Mapa final'!#REF!),"")</f>
        <v>#REF!</v>
      </c>
      <c r="AG6" s="262"/>
      <c r="AH6" s="251" t="e">
        <f>IF(AND('Mapa final'!#REF!="Muy Alta",'Mapa final'!#REF!="Catastrófico"),CONCATENATE("R",'Mapa final'!#REF!),"")</f>
        <v>#REF!</v>
      </c>
      <c r="AI6" s="252"/>
      <c r="AJ6" s="252" t="str">
        <f>IF(AND('Mapa final'!$L$12="Muy Alta",'Mapa final'!$P$12="Catastrófico"),CONCATENATE("R",'Mapa final'!$A$12),"")</f>
        <v/>
      </c>
      <c r="AK6" s="252"/>
      <c r="AL6" s="252" t="e">
        <f>IF(AND('Mapa final'!#REF!="Muy Alta",'Mapa final'!#REF!="Catastrófico"),CONCATENATE("R",'Mapa final'!#REF!),"")</f>
        <v>#REF!</v>
      </c>
      <c r="AM6" s="253"/>
      <c r="AO6" s="276" t="s">
        <v>181</v>
      </c>
      <c r="AP6" s="277"/>
      <c r="AQ6" s="277"/>
      <c r="AR6" s="277"/>
      <c r="AS6" s="277"/>
      <c r="AT6" s="278"/>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74"/>
      <c r="C7" s="274"/>
      <c r="D7" s="275"/>
      <c r="E7" s="267"/>
      <c r="F7" s="268"/>
      <c r="G7" s="268"/>
      <c r="H7" s="268"/>
      <c r="I7" s="269"/>
      <c r="J7" s="254"/>
      <c r="K7" s="255"/>
      <c r="L7" s="255"/>
      <c r="M7" s="255"/>
      <c r="N7" s="255"/>
      <c r="O7" s="256"/>
      <c r="P7" s="254"/>
      <c r="Q7" s="255"/>
      <c r="R7" s="255"/>
      <c r="S7" s="255"/>
      <c r="T7" s="255"/>
      <c r="U7" s="256"/>
      <c r="V7" s="254"/>
      <c r="W7" s="255"/>
      <c r="X7" s="255"/>
      <c r="Y7" s="255"/>
      <c r="Z7" s="255"/>
      <c r="AA7" s="256"/>
      <c r="AB7" s="254"/>
      <c r="AC7" s="255"/>
      <c r="AD7" s="255"/>
      <c r="AE7" s="255"/>
      <c r="AF7" s="255"/>
      <c r="AG7" s="256"/>
      <c r="AH7" s="245"/>
      <c r="AI7" s="246"/>
      <c r="AJ7" s="246"/>
      <c r="AK7" s="246"/>
      <c r="AL7" s="246"/>
      <c r="AM7" s="247"/>
      <c r="AN7" s="75"/>
      <c r="AO7" s="279"/>
      <c r="AP7" s="280"/>
      <c r="AQ7" s="280"/>
      <c r="AR7" s="280"/>
      <c r="AS7" s="280"/>
      <c r="AT7" s="281"/>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74"/>
      <c r="C8" s="274"/>
      <c r="D8" s="275"/>
      <c r="E8" s="267"/>
      <c r="F8" s="268"/>
      <c r="G8" s="268"/>
      <c r="H8" s="268"/>
      <c r="I8" s="269"/>
      <c r="J8" s="254" t="e">
        <f>IF(AND('Mapa final'!#REF!="Muy Alta",'Mapa final'!#REF!="Leve"),CONCATENATE("R",'Mapa final'!#REF!),"")</f>
        <v>#REF!</v>
      </c>
      <c r="K8" s="255"/>
      <c r="L8" s="255" t="e">
        <f>IF(AND('Mapa final'!#REF!="Muy Alta",'Mapa final'!#REF!="Leve"),CONCATENATE("R",'Mapa final'!#REF!),"")</f>
        <v>#REF!</v>
      </c>
      <c r="M8" s="255"/>
      <c r="N8" s="255" t="e">
        <f>IF(AND('Mapa final'!#REF!="Muy Alta",'Mapa final'!#REF!="Leve"),CONCATENATE("R",'Mapa final'!#REF!),"")</f>
        <v>#REF!</v>
      </c>
      <c r="O8" s="256"/>
      <c r="P8" s="254" t="e">
        <f>IF(AND('Mapa final'!#REF!="Muy Alta",'Mapa final'!#REF!="Menor"),CONCATENATE("R",'Mapa final'!#REF!),"")</f>
        <v>#REF!</v>
      </c>
      <c r="Q8" s="255"/>
      <c r="R8" s="255" t="e">
        <f>IF(AND('Mapa final'!#REF!="Muy Alta",'Mapa final'!#REF!="Menor"),CONCATENATE("R",'Mapa final'!#REF!),"")</f>
        <v>#REF!</v>
      </c>
      <c r="S8" s="255"/>
      <c r="T8" s="255" t="e">
        <f>IF(AND('Mapa final'!#REF!="Muy Alta",'Mapa final'!#REF!="Menor"),CONCATENATE("R",'Mapa final'!#REF!),"")</f>
        <v>#REF!</v>
      </c>
      <c r="U8" s="256"/>
      <c r="V8" s="254" t="e">
        <f>IF(AND('Mapa final'!#REF!="Muy Alta",'Mapa final'!#REF!="Moderado"),CONCATENATE("R",'Mapa final'!#REF!),"")</f>
        <v>#REF!</v>
      </c>
      <c r="W8" s="255"/>
      <c r="X8" s="255" t="e">
        <f>IF(AND('Mapa final'!#REF!="Muy Alta",'Mapa final'!#REF!="Moderado"),CONCATENATE("R",'Mapa final'!#REF!),"")</f>
        <v>#REF!</v>
      </c>
      <c r="Y8" s="255"/>
      <c r="Z8" s="255" t="e">
        <f>IF(AND('Mapa final'!#REF!="Muy Alta",'Mapa final'!#REF!="Moderado"),CONCATENATE("R",'Mapa final'!#REF!),"")</f>
        <v>#REF!</v>
      </c>
      <c r="AA8" s="256"/>
      <c r="AB8" s="254" t="e">
        <f>IF(AND('Mapa final'!#REF!="Muy Alta",'Mapa final'!#REF!="Mayor"),CONCATENATE("R",'Mapa final'!#REF!),"")</f>
        <v>#REF!</v>
      </c>
      <c r="AC8" s="255"/>
      <c r="AD8" s="255" t="e">
        <f>IF(AND('Mapa final'!#REF!="Muy Alta",'Mapa final'!#REF!="Mayor"),CONCATENATE("R",'Mapa final'!#REF!),"")</f>
        <v>#REF!</v>
      </c>
      <c r="AE8" s="255"/>
      <c r="AF8" s="255" t="e">
        <f>IF(AND('Mapa final'!#REF!="Muy Alta",'Mapa final'!#REF!="Mayor"),CONCATENATE("R",'Mapa final'!#REF!),"")</f>
        <v>#REF!</v>
      </c>
      <c r="AG8" s="256"/>
      <c r="AH8" s="245" t="e">
        <f>IF(AND('Mapa final'!#REF!="Muy Alta",'Mapa final'!#REF!="Catastrófico"),CONCATENATE("R",'Mapa final'!#REF!),"")</f>
        <v>#REF!</v>
      </c>
      <c r="AI8" s="246"/>
      <c r="AJ8" s="246" t="e">
        <f>IF(AND('Mapa final'!#REF!="Muy Alta",'Mapa final'!#REF!="Catastrófico"),CONCATENATE("R",'Mapa final'!#REF!),"")</f>
        <v>#REF!</v>
      </c>
      <c r="AK8" s="246"/>
      <c r="AL8" s="246" t="e">
        <f>IF(AND('Mapa final'!#REF!="Muy Alta",'Mapa final'!#REF!="Catastrófico"),CONCATENATE("R",'Mapa final'!#REF!),"")</f>
        <v>#REF!</v>
      </c>
      <c r="AM8" s="247"/>
      <c r="AN8" s="75"/>
      <c r="AO8" s="279"/>
      <c r="AP8" s="280"/>
      <c r="AQ8" s="280"/>
      <c r="AR8" s="280"/>
      <c r="AS8" s="280"/>
      <c r="AT8" s="281"/>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74"/>
      <c r="C9" s="274"/>
      <c r="D9" s="275"/>
      <c r="E9" s="267"/>
      <c r="F9" s="268"/>
      <c r="G9" s="268"/>
      <c r="H9" s="268"/>
      <c r="I9" s="269"/>
      <c r="J9" s="254"/>
      <c r="K9" s="255"/>
      <c r="L9" s="255"/>
      <c r="M9" s="255"/>
      <c r="N9" s="255"/>
      <c r="O9" s="256"/>
      <c r="P9" s="254"/>
      <c r="Q9" s="255"/>
      <c r="R9" s="255"/>
      <c r="S9" s="255"/>
      <c r="T9" s="255"/>
      <c r="U9" s="256"/>
      <c r="V9" s="254"/>
      <c r="W9" s="255"/>
      <c r="X9" s="255"/>
      <c r="Y9" s="255"/>
      <c r="Z9" s="255"/>
      <c r="AA9" s="256"/>
      <c r="AB9" s="254"/>
      <c r="AC9" s="255"/>
      <c r="AD9" s="255"/>
      <c r="AE9" s="255"/>
      <c r="AF9" s="255"/>
      <c r="AG9" s="256"/>
      <c r="AH9" s="245"/>
      <c r="AI9" s="246"/>
      <c r="AJ9" s="246"/>
      <c r="AK9" s="246"/>
      <c r="AL9" s="246"/>
      <c r="AM9" s="247"/>
      <c r="AN9" s="75"/>
      <c r="AO9" s="279"/>
      <c r="AP9" s="280"/>
      <c r="AQ9" s="280"/>
      <c r="AR9" s="280"/>
      <c r="AS9" s="280"/>
      <c r="AT9" s="281"/>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74"/>
      <c r="C10" s="274"/>
      <c r="D10" s="275"/>
      <c r="E10" s="267"/>
      <c r="F10" s="268"/>
      <c r="G10" s="268"/>
      <c r="H10" s="268"/>
      <c r="I10" s="269"/>
      <c r="J10" s="254" t="e">
        <f>IF(AND('Mapa final'!#REF!="Muy Alta",'Mapa final'!#REF!="Leve"),CONCATENATE("R",'Mapa final'!#REF!),"")</f>
        <v>#REF!</v>
      </c>
      <c r="K10" s="255"/>
      <c r="L10" s="255" t="e">
        <f>IF(AND('Mapa final'!#REF!="Muy Alta",'Mapa final'!#REF!="Leve"),CONCATENATE("R",'Mapa final'!#REF!),"")</f>
        <v>#REF!</v>
      </c>
      <c r="M10" s="255"/>
      <c r="N10" s="255" t="e">
        <f>IF(AND('Mapa final'!#REF!="Muy Alta",'Mapa final'!#REF!="Leve"),CONCATENATE("R",'Mapa final'!#REF!),"")</f>
        <v>#REF!</v>
      </c>
      <c r="O10" s="256"/>
      <c r="P10" s="254" t="e">
        <f>IF(AND('Mapa final'!#REF!="Muy Alta",'Mapa final'!#REF!="Menor"),CONCATENATE("R",'Mapa final'!#REF!),"")</f>
        <v>#REF!</v>
      </c>
      <c r="Q10" s="255"/>
      <c r="R10" s="255" t="e">
        <f>IF(AND('Mapa final'!#REF!="Muy Alta",'Mapa final'!#REF!="Menor"),CONCATENATE("R",'Mapa final'!#REF!),"")</f>
        <v>#REF!</v>
      </c>
      <c r="S10" s="255"/>
      <c r="T10" s="255" t="e">
        <f>IF(AND('Mapa final'!#REF!="Muy Alta",'Mapa final'!#REF!="Menor"),CONCATENATE("R",'Mapa final'!#REF!),"")</f>
        <v>#REF!</v>
      </c>
      <c r="U10" s="256"/>
      <c r="V10" s="254" t="e">
        <f>IF(AND('Mapa final'!#REF!="Muy Alta",'Mapa final'!#REF!="Moderado"),CONCATENATE("R",'Mapa final'!#REF!),"")</f>
        <v>#REF!</v>
      </c>
      <c r="W10" s="255"/>
      <c r="X10" s="255" t="e">
        <f>IF(AND('Mapa final'!#REF!="Muy Alta",'Mapa final'!#REF!="Moderado"),CONCATENATE("R",'Mapa final'!#REF!),"")</f>
        <v>#REF!</v>
      </c>
      <c r="Y10" s="255"/>
      <c r="Z10" s="255" t="e">
        <f>IF(AND('Mapa final'!#REF!="Muy Alta",'Mapa final'!#REF!="Moderado"),CONCATENATE("R",'Mapa final'!#REF!),"")</f>
        <v>#REF!</v>
      </c>
      <c r="AA10" s="256"/>
      <c r="AB10" s="254" t="e">
        <f>IF(AND('Mapa final'!#REF!="Muy Alta",'Mapa final'!#REF!="Mayor"),CONCATENATE("R",'Mapa final'!#REF!),"")</f>
        <v>#REF!</v>
      </c>
      <c r="AC10" s="255"/>
      <c r="AD10" s="255" t="e">
        <f>IF(AND('Mapa final'!#REF!="Muy Alta",'Mapa final'!#REF!="Mayor"),CONCATENATE("R",'Mapa final'!#REF!),"")</f>
        <v>#REF!</v>
      </c>
      <c r="AE10" s="255"/>
      <c r="AF10" s="255" t="e">
        <f>IF(AND('Mapa final'!#REF!="Muy Alta",'Mapa final'!#REF!="Mayor"),CONCATENATE("R",'Mapa final'!#REF!),"")</f>
        <v>#REF!</v>
      </c>
      <c r="AG10" s="256"/>
      <c r="AH10" s="245" t="e">
        <f>IF(AND('Mapa final'!#REF!="Muy Alta",'Mapa final'!#REF!="Catastrófico"),CONCATENATE("R",'Mapa final'!#REF!),"")</f>
        <v>#REF!</v>
      </c>
      <c r="AI10" s="246"/>
      <c r="AJ10" s="246" t="e">
        <f>IF(AND('Mapa final'!#REF!="Muy Alta",'Mapa final'!#REF!="Catastrófico"),CONCATENATE("R",'Mapa final'!#REF!),"")</f>
        <v>#REF!</v>
      </c>
      <c r="AK10" s="246"/>
      <c r="AL10" s="246" t="e">
        <f>IF(AND('Mapa final'!#REF!="Muy Alta",'Mapa final'!#REF!="Catastrófico"),CONCATENATE("R",'Mapa final'!#REF!),"")</f>
        <v>#REF!</v>
      </c>
      <c r="AM10" s="247"/>
      <c r="AN10" s="75"/>
      <c r="AO10" s="279"/>
      <c r="AP10" s="280"/>
      <c r="AQ10" s="280"/>
      <c r="AR10" s="280"/>
      <c r="AS10" s="280"/>
      <c r="AT10" s="281"/>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74"/>
      <c r="C11" s="274"/>
      <c r="D11" s="275"/>
      <c r="E11" s="267"/>
      <c r="F11" s="268"/>
      <c r="G11" s="268"/>
      <c r="H11" s="268"/>
      <c r="I11" s="269"/>
      <c r="J11" s="254"/>
      <c r="K11" s="255"/>
      <c r="L11" s="255"/>
      <c r="M11" s="255"/>
      <c r="N11" s="255"/>
      <c r="O11" s="256"/>
      <c r="P11" s="254"/>
      <c r="Q11" s="255"/>
      <c r="R11" s="255"/>
      <c r="S11" s="255"/>
      <c r="T11" s="255"/>
      <c r="U11" s="256"/>
      <c r="V11" s="254"/>
      <c r="W11" s="255"/>
      <c r="X11" s="255"/>
      <c r="Y11" s="255"/>
      <c r="Z11" s="255"/>
      <c r="AA11" s="256"/>
      <c r="AB11" s="254"/>
      <c r="AC11" s="255"/>
      <c r="AD11" s="255"/>
      <c r="AE11" s="255"/>
      <c r="AF11" s="255"/>
      <c r="AG11" s="256"/>
      <c r="AH11" s="245"/>
      <c r="AI11" s="246"/>
      <c r="AJ11" s="246"/>
      <c r="AK11" s="246"/>
      <c r="AL11" s="246"/>
      <c r="AM11" s="247"/>
      <c r="AN11" s="75"/>
      <c r="AO11" s="279"/>
      <c r="AP11" s="280"/>
      <c r="AQ11" s="280"/>
      <c r="AR11" s="280"/>
      <c r="AS11" s="280"/>
      <c r="AT11" s="281"/>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74"/>
      <c r="C12" s="274"/>
      <c r="D12" s="275"/>
      <c r="E12" s="267"/>
      <c r="F12" s="268"/>
      <c r="G12" s="268"/>
      <c r="H12" s="268"/>
      <c r="I12" s="269"/>
      <c r="J12" s="254" t="e">
        <f>IF(AND('Mapa final'!#REF!="Muy Alta",'Mapa final'!#REF!="Leve"),CONCATENATE("R",'Mapa final'!#REF!),"")</f>
        <v>#REF!</v>
      </c>
      <c r="K12" s="255"/>
      <c r="L12" s="255" t="str">
        <f>IF(AND('Mapa final'!$L$15="Muy Alta",'Mapa final'!$P$15="Leve"),CONCATENATE("R",'Mapa final'!$A$15),"")</f>
        <v/>
      </c>
      <c r="M12" s="255"/>
      <c r="N12" s="255" t="str">
        <f>IF(AND('Mapa final'!$L$17="Muy Alta",'Mapa final'!$P$17="Leve"),CONCATENATE("R",'Mapa final'!$A$17),"")</f>
        <v/>
      </c>
      <c r="O12" s="256"/>
      <c r="P12" s="254" t="e">
        <f>IF(AND('Mapa final'!#REF!="Muy Alta",'Mapa final'!#REF!="Menor"),CONCATENATE("R",'Mapa final'!#REF!),"")</f>
        <v>#REF!</v>
      </c>
      <c r="Q12" s="255"/>
      <c r="R12" s="255" t="str">
        <f>IF(AND('Mapa final'!$L$15="Muy Alta",'Mapa final'!$P$15="Menor"),CONCATENATE("R",'Mapa final'!$A$15),"")</f>
        <v/>
      </c>
      <c r="S12" s="255"/>
      <c r="T12" s="255" t="str">
        <f>IF(AND('Mapa final'!$L$17="Muy Alta",'Mapa final'!$P$17="Menor"),CONCATENATE("R",'Mapa final'!$A$17),"")</f>
        <v/>
      </c>
      <c r="U12" s="256"/>
      <c r="V12" s="254" t="e">
        <f>IF(AND('Mapa final'!#REF!="Muy Alta",'Mapa final'!#REF!="Moderado"),CONCATENATE("R",'Mapa final'!#REF!),"")</f>
        <v>#REF!</v>
      </c>
      <c r="W12" s="255"/>
      <c r="X12" s="255" t="str">
        <f>IF(AND('Mapa final'!$L$15="Muy Alta",'Mapa final'!$P$15="Moderado"),CONCATENATE("R",'Mapa final'!$A$15),"")</f>
        <v/>
      </c>
      <c r="Y12" s="255"/>
      <c r="Z12" s="255" t="str">
        <f>IF(AND('Mapa final'!$L$17="Muy Alta",'Mapa final'!$P$17="Moderado"),CONCATENATE("R",'Mapa final'!$A$17),"")</f>
        <v/>
      </c>
      <c r="AA12" s="256"/>
      <c r="AB12" s="254" t="e">
        <f>IF(AND('Mapa final'!#REF!="Muy Alta",'Mapa final'!#REF!="Mayor"),CONCATENATE("R",'Mapa final'!#REF!),"")</f>
        <v>#REF!</v>
      </c>
      <c r="AC12" s="255"/>
      <c r="AD12" s="255" t="str">
        <f>IF(AND('Mapa final'!$L$15="Muy Alta",'Mapa final'!$P$15="Mayor"),CONCATENATE("R",'Mapa final'!$A$15),"")</f>
        <v/>
      </c>
      <c r="AE12" s="255"/>
      <c r="AF12" s="255" t="str">
        <f>IF(AND('Mapa final'!$L$17="Muy Alta",'Mapa final'!$P$17="Mayor"),CONCATENATE("R",'Mapa final'!$A$17),"")</f>
        <v/>
      </c>
      <c r="AG12" s="256"/>
      <c r="AH12" s="245" t="e">
        <f>IF(AND('Mapa final'!#REF!="Muy Alta",'Mapa final'!#REF!="Catastrófico"),CONCATENATE("R",'Mapa final'!#REF!),"")</f>
        <v>#REF!</v>
      </c>
      <c r="AI12" s="246"/>
      <c r="AJ12" s="246" t="str">
        <f>IF(AND('Mapa final'!$L$15="Muy Alta",'Mapa final'!$P$15="Catastrófico"),CONCATENATE("R",'Mapa final'!$A$15),"")</f>
        <v/>
      </c>
      <c r="AK12" s="246"/>
      <c r="AL12" s="246" t="str">
        <f>IF(AND('Mapa final'!$L$17="Muy Alta",'Mapa final'!$P$17="Catastrófico"),CONCATENATE("R",'Mapa final'!$A$17),"")</f>
        <v/>
      </c>
      <c r="AM12" s="247"/>
      <c r="AN12" s="75"/>
      <c r="AO12" s="279"/>
      <c r="AP12" s="280"/>
      <c r="AQ12" s="280"/>
      <c r="AR12" s="280"/>
      <c r="AS12" s="280"/>
      <c r="AT12" s="281"/>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74"/>
      <c r="C13" s="274"/>
      <c r="D13" s="275"/>
      <c r="E13" s="270"/>
      <c r="F13" s="271"/>
      <c r="G13" s="271"/>
      <c r="H13" s="271"/>
      <c r="I13" s="272"/>
      <c r="J13" s="254"/>
      <c r="K13" s="255"/>
      <c r="L13" s="255"/>
      <c r="M13" s="255"/>
      <c r="N13" s="255"/>
      <c r="O13" s="256"/>
      <c r="P13" s="254"/>
      <c r="Q13" s="255"/>
      <c r="R13" s="255"/>
      <c r="S13" s="255"/>
      <c r="T13" s="255"/>
      <c r="U13" s="256"/>
      <c r="V13" s="254"/>
      <c r="W13" s="255"/>
      <c r="X13" s="255"/>
      <c r="Y13" s="255"/>
      <c r="Z13" s="255"/>
      <c r="AA13" s="256"/>
      <c r="AB13" s="254"/>
      <c r="AC13" s="255"/>
      <c r="AD13" s="255"/>
      <c r="AE13" s="255"/>
      <c r="AF13" s="255"/>
      <c r="AG13" s="256"/>
      <c r="AH13" s="248"/>
      <c r="AI13" s="249"/>
      <c r="AJ13" s="249"/>
      <c r="AK13" s="249"/>
      <c r="AL13" s="249"/>
      <c r="AM13" s="250"/>
      <c r="AN13" s="75"/>
      <c r="AO13" s="282"/>
      <c r="AP13" s="283"/>
      <c r="AQ13" s="283"/>
      <c r="AR13" s="283"/>
      <c r="AS13" s="283"/>
      <c r="AT13" s="284"/>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74"/>
      <c r="C14" s="274"/>
      <c r="D14" s="275"/>
      <c r="E14" s="264" t="s">
        <v>182</v>
      </c>
      <c r="F14" s="265"/>
      <c r="G14" s="265"/>
      <c r="H14" s="265"/>
      <c r="I14" s="265"/>
      <c r="J14" s="242" t="e">
        <f>IF(AND('Mapa final'!#REF!="Alta",'Mapa final'!#REF!="Leve"),CONCATENATE("R",'Mapa final'!#REF!),"")</f>
        <v>#REF!</v>
      </c>
      <c r="K14" s="243"/>
      <c r="L14" s="243" t="str">
        <f>IF(AND('Mapa final'!$L$12="Alta",'Mapa final'!$P$12="Leve"),CONCATENATE("R",'Mapa final'!$A$12),"")</f>
        <v/>
      </c>
      <c r="M14" s="243"/>
      <c r="N14" s="243" t="e">
        <f>IF(AND('Mapa final'!#REF!="Alta",'Mapa final'!#REF!="Leve"),CONCATENATE("R",'Mapa final'!#REF!),"")</f>
        <v>#REF!</v>
      </c>
      <c r="O14" s="244"/>
      <c r="P14" s="242" t="e">
        <f>IF(AND('Mapa final'!#REF!="Alta",'Mapa final'!#REF!="Menor"),CONCATENATE("R",'Mapa final'!#REF!),"")</f>
        <v>#REF!</v>
      </c>
      <c r="Q14" s="243"/>
      <c r="R14" s="243" t="str">
        <f>IF(AND('Mapa final'!$L$12="Alta",'Mapa final'!$P$12="Menor"),CONCATENATE("R",'Mapa final'!$A$12),"")</f>
        <v/>
      </c>
      <c r="S14" s="243"/>
      <c r="T14" s="243" t="e">
        <f>IF(AND('Mapa final'!#REF!="Alta",'Mapa final'!#REF!="Menor"),CONCATENATE("R",'Mapa final'!#REF!),"")</f>
        <v>#REF!</v>
      </c>
      <c r="U14" s="244"/>
      <c r="V14" s="260" t="e">
        <f>IF(AND('Mapa final'!#REF!="Alta",'Mapa final'!#REF!="Moderado"),CONCATENATE("R",'Mapa final'!#REF!),"")</f>
        <v>#REF!</v>
      </c>
      <c r="W14" s="261"/>
      <c r="X14" s="261" t="str">
        <f>IF(AND('Mapa final'!$L$12="Alta",'Mapa final'!$P$12="Moderado"),CONCATENATE("R",'Mapa final'!$A$12),"")</f>
        <v/>
      </c>
      <c r="Y14" s="261"/>
      <c r="Z14" s="261" t="e">
        <f>IF(AND('Mapa final'!#REF!="Alta",'Mapa final'!#REF!="Moderado"),CONCATENATE("R",'Mapa final'!#REF!),"")</f>
        <v>#REF!</v>
      </c>
      <c r="AA14" s="262"/>
      <c r="AB14" s="260" t="e">
        <f>IF(AND('Mapa final'!#REF!="Alta",'Mapa final'!#REF!="Mayor"),CONCATENATE("R",'Mapa final'!#REF!),"")</f>
        <v>#REF!</v>
      </c>
      <c r="AC14" s="261"/>
      <c r="AD14" s="261" t="str">
        <f>IF(AND('Mapa final'!$L$12="Alta",'Mapa final'!$P$12="Mayor"),CONCATENATE("R",'Mapa final'!$A$12),"")</f>
        <v/>
      </c>
      <c r="AE14" s="261"/>
      <c r="AF14" s="261" t="e">
        <f>IF(AND('Mapa final'!#REF!="Alta",'Mapa final'!#REF!="Mayor"),CONCATENATE("R",'Mapa final'!#REF!),"")</f>
        <v>#REF!</v>
      </c>
      <c r="AG14" s="262"/>
      <c r="AH14" s="251" t="e">
        <f>IF(AND('Mapa final'!#REF!="Alta",'Mapa final'!#REF!="Catastrófico"),CONCATENATE("R",'Mapa final'!#REF!),"")</f>
        <v>#REF!</v>
      </c>
      <c r="AI14" s="252"/>
      <c r="AJ14" s="252" t="str">
        <f>IF(AND('Mapa final'!$L$12="Alta",'Mapa final'!$P$12="Catastrófico"),CONCATENATE("R",'Mapa final'!$A$12),"")</f>
        <v/>
      </c>
      <c r="AK14" s="252"/>
      <c r="AL14" s="252" t="e">
        <f>IF(AND('Mapa final'!#REF!="Alta",'Mapa final'!#REF!="Catastrófico"),CONCATENATE("R",'Mapa final'!#REF!),"")</f>
        <v>#REF!</v>
      </c>
      <c r="AM14" s="253"/>
      <c r="AN14" s="75"/>
      <c r="AO14" s="285" t="s">
        <v>183</v>
      </c>
      <c r="AP14" s="286"/>
      <c r="AQ14" s="286"/>
      <c r="AR14" s="286"/>
      <c r="AS14" s="286"/>
      <c r="AT14" s="287"/>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74"/>
      <c r="C15" s="274"/>
      <c r="D15" s="275"/>
      <c r="E15" s="267"/>
      <c r="F15" s="268"/>
      <c r="G15" s="268"/>
      <c r="H15" s="268"/>
      <c r="I15" s="268"/>
      <c r="J15" s="236"/>
      <c r="K15" s="237"/>
      <c r="L15" s="237"/>
      <c r="M15" s="237"/>
      <c r="N15" s="237"/>
      <c r="O15" s="238"/>
      <c r="P15" s="236"/>
      <c r="Q15" s="237"/>
      <c r="R15" s="237"/>
      <c r="S15" s="237"/>
      <c r="T15" s="237"/>
      <c r="U15" s="238"/>
      <c r="V15" s="254"/>
      <c r="W15" s="255"/>
      <c r="X15" s="255"/>
      <c r="Y15" s="255"/>
      <c r="Z15" s="255"/>
      <c r="AA15" s="256"/>
      <c r="AB15" s="254"/>
      <c r="AC15" s="255"/>
      <c r="AD15" s="255"/>
      <c r="AE15" s="255"/>
      <c r="AF15" s="255"/>
      <c r="AG15" s="256"/>
      <c r="AH15" s="245"/>
      <c r="AI15" s="246"/>
      <c r="AJ15" s="246"/>
      <c r="AK15" s="246"/>
      <c r="AL15" s="246"/>
      <c r="AM15" s="247"/>
      <c r="AN15" s="75"/>
      <c r="AO15" s="288"/>
      <c r="AP15" s="289"/>
      <c r="AQ15" s="289"/>
      <c r="AR15" s="289"/>
      <c r="AS15" s="289"/>
      <c r="AT15" s="290"/>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74"/>
      <c r="C16" s="274"/>
      <c r="D16" s="275"/>
      <c r="E16" s="267"/>
      <c r="F16" s="268"/>
      <c r="G16" s="268"/>
      <c r="H16" s="268"/>
      <c r="I16" s="268"/>
      <c r="J16" s="236" t="e">
        <f>IF(AND('Mapa final'!#REF!="Alta",'Mapa final'!#REF!="Leve"),CONCATENATE("R",'Mapa final'!#REF!),"")</f>
        <v>#REF!</v>
      </c>
      <c r="K16" s="237"/>
      <c r="L16" s="237" t="e">
        <f>IF(AND('Mapa final'!#REF!="Alta",'Mapa final'!#REF!="Leve"),CONCATENATE("R",'Mapa final'!#REF!),"")</f>
        <v>#REF!</v>
      </c>
      <c r="M16" s="237"/>
      <c r="N16" s="237" t="e">
        <f>IF(AND('Mapa final'!#REF!="Alta",'Mapa final'!#REF!="Leve"),CONCATENATE("R",'Mapa final'!#REF!),"")</f>
        <v>#REF!</v>
      </c>
      <c r="O16" s="238"/>
      <c r="P16" s="236" t="e">
        <f>IF(AND('Mapa final'!#REF!="Alta",'Mapa final'!#REF!="Menor"),CONCATENATE("R",'Mapa final'!#REF!),"")</f>
        <v>#REF!</v>
      </c>
      <c r="Q16" s="237"/>
      <c r="R16" s="237" t="e">
        <f>IF(AND('Mapa final'!#REF!="Alta",'Mapa final'!#REF!="Menor"),CONCATENATE("R",'Mapa final'!#REF!),"")</f>
        <v>#REF!</v>
      </c>
      <c r="S16" s="237"/>
      <c r="T16" s="237" t="e">
        <f>IF(AND('Mapa final'!#REF!="Alta",'Mapa final'!#REF!="Menor"),CONCATENATE("R",'Mapa final'!#REF!),"")</f>
        <v>#REF!</v>
      </c>
      <c r="U16" s="238"/>
      <c r="V16" s="254" t="e">
        <f>IF(AND('Mapa final'!#REF!="Alta",'Mapa final'!#REF!="Moderado"),CONCATENATE("R",'Mapa final'!#REF!),"")</f>
        <v>#REF!</v>
      </c>
      <c r="W16" s="255"/>
      <c r="X16" s="255" t="e">
        <f>IF(AND('Mapa final'!#REF!="Alta",'Mapa final'!#REF!="Moderado"),CONCATENATE("R",'Mapa final'!#REF!),"")</f>
        <v>#REF!</v>
      </c>
      <c r="Y16" s="255"/>
      <c r="Z16" s="255" t="e">
        <f>IF(AND('Mapa final'!#REF!="Alta",'Mapa final'!#REF!="Moderado"),CONCATENATE("R",'Mapa final'!#REF!),"")</f>
        <v>#REF!</v>
      </c>
      <c r="AA16" s="256"/>
      <c r="AB16" s="254" t="e">
        <f>IF(AND('Mapa final'!#REF!="Alta",'Mapa final'!#REF!="Mayor"),CONCATENATE("R",'Mapa final'!#REF!),"")</f>
        <v>#REF!</v>
      </c>
      <c r="AC16" s="255"/>
      <c r="AD16" s="255" t="e">
        <f>IF(AND('Mapa final'!#REF!="Alta",'Mapa final'!#REF!="Mayor"),CONCATENATE("R",'Mapa final'!#REF!),"")</f>
        <v>#REF!</v>
      </c>
      <c r="AE16" s="255"/>
      <c r="AF16" s="255" t="e">
        <f>IF(AND('Mapa final'!#REF!="Alta",'Mapa final'!#REF!="Mayor"),CONCATENATE("R",'Mapa final'!#REF!),"")</f>
        <v>#REF!</v>
      </c>
      <c r="AG16" s="256"/>
      <c r="AH16" s="245" t="e">
        <f>IF(AND('Mapa final'!#REF!="Alta",'Mapa final'!#REF!="Catastrófico"),CONCATENATE("R",'Mapa final'!#REF!),"")</f>
        <v>#REF!</v>
      </c>
      <c r="AI16" s="246"/>
      <c r="AJ16" s="246" t="e">
        <f>IF(AND('Mapa final'!#REF!="Alta",'Mapa final'!#REF!="Catastrófico"),CONCATENATE("R",'Mapa final'!#REF!),"")</f>
        <v>#REF!</v>
      </c>
      <c r="AK16" s="246"/>
      <c r="AL16" s="246" t="e">
        <f>IF(AND('Mapa final'!#REF!="Alta",'Mapa final'!#REF!="Catastrófico"),CONCATENATE("R",'Mapa final'!#REF!),"")</f>
        <v>#REF!</v>
      </c>
      <c r="AM16" s="247"/>
      <c r="AN16" s="75"/>
      <c r="AO16" s="288"/>
      <c r="AP16" s="289"/>
      <c r="AQ16" s="289"/>
      <c r="AR16" s="289"/>
      <c r="AS16" s="289"/>
      <c r="AT16" s="290"/>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74"/>
      <c r="C17" s="274"/>
      <c r="D17" s="275"/>
      <c r="E17" s="267"/>
      <c r="F17" s="268"/>
      <c r="G17" s="268"/>
      <c r="H17" s="268"/>
      <c r="I17" s="268"/>
      <c r="J17" s="236"/>
      <c r="K17" s="237"/>
      <c r="L17" s="237"/>
      <c r="M17" s="237"/>
      <c r="N17" s="237"/>
      <c r="O17" s="238"/>
      <c r="P17" s="236"/>
      <c r="Q17" s="237"/>
      <c r="R17" s="237"/>
      <c r="S17" s="237"/>
      <c r="T17" s="237"/>
      <c r="U17" s="238"/>
      <c r="V17" s="254"/>
      <c r="W17" s="255"/>
      <c r="X17" s="255"/>
      <c r="Y17" s="255"/>
      <c r="Z17" s="255"/>
      <c r="AA17" s="256"/>
      <c r="AB17" s="254"/>
      <c r="AC17" s="255"/>
      <c r="AD17" s="255"/>
      <c r="AE17" s="255"/>
      <c r="AF17" s="255"/>
      <c r="AG17" s="256"/>
      <c r="AH17" s="245"/>
      <c r="AI17" s="246"/>
      <c r="AJ17" s="246"/>
      <c r="AK17" s="246"/>
      <c r="AL17" s="246"/>
      <c r="AM17" s="247"/>
      <c r="AN17" s="75"/>
      <c r="AO17" s="288"/>
      <c r="AP17" s="289"/>
      <c r="AQ17" s="289"/>
      <c r="AR17" s="289"/>
      <c r="AS17" s="289"/>
      <c r="AT17" s="290"/>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74"/>
      <c r="C18" s="274"/>
      <c r="D18" s="275"/>
      <c r="E18" s="267"/>
      <c r="F18" s="268"/>
      <c r="G18" s="268"/>
      <c r="H18" s="268"/>
      <c r="I18" s="268"/>
      <c r="J18" s="236" t="e">
        <f>IF(AND('Mapa final'!#REF!="Alta",'Mapa final'!#REF!="Leve"),CONCATENATE("R",'Mapa final'!#REF!),"")</f>
        <v>#REF!</v>
      </c>
      <c r="K18" s="237"/>
      <c r="L18" s="237" t="e">
        <f>IF(AND('Mapa final'!#REF!="Alta",'Mapa final'!#REF!="Leve"),CONCATENATE("R",'Mapa final'!#REF!),"")</f>
        <v>#REF!</v>
      </c>
      <c r="M18" s="237"/>
      <c r="N18" s="237" t="e">
        <f>IF(AND('Mapa final'!#REF!="Alta",'Mapa final'!#REF!="Leve"),CONCATENATE("R",'Mapa final'!#REF!),"")</f>
        <v>#REF!</v>
      </c>
      <c r="O18" s="238"/>
      <c r="P18" s="236" t="e">
        <f>IF(AND('Mapa final'!#REF!="Alta",'Mapa final'!#REF!="Menor"),CONCATENATE("R",'Mapa final'!#REF!),"")</f>
        <v>#REF!</v>
      </c>
      <c r="Q18" s="237"/>
      <c r="R18" s="237" t="e">
        <f>IF(AND('Mapa final'!#REF!="Alta",'Mapa final'!#REF!="Menor"),CONCATENATE("R",'Mapa final'!#REF!),"")</f>
        <v>#REF!</v>
      </c>
      <c r="S18" s="237"/>
      <c r="T18" s="237" t="e">
        <f>IF(AND('Mapa final'!#REF!="Alta",'Mapa final'!#REF!="Menor"),CONCATENATE("R",'Mapa final'!#REF!),"")</f>
        <v>#REF!</v>
      </c>
      <c r="U18" s="238"/>
      <c r="V18" s="254" t="e">
        <f>IF(AND('Mapa final'!#REF!="Alta",'Mapa final'!#REF!="Moderado"),CONCATENATE("R",'Mapa final'!#REF!),"")</f>
        <v>#REF!</v>
      </c>
      <c r="W18" s="255"/>
      <c r="X18" s="255" t="e">
        <f>IF(AND('Mapa final'!#REF!="Alta",'Mapa final'!#REF!="Moderado"),CONCATENATE("R",'Mapa final'!#REF!),"")</f>
        <v>#REF!</v>
      </c>
      <c r="Y18" s="255"/>
      <c r="Z18" s="255" t="e">
        <f>IF(AND('Mapa final'!#REF!="Alta",'Mapa final'!#REF!="Moderado"),CONCATENATE("R",'Mapa final'!#REF!),"")</f>
        <v>#REF!</v>
      </c>
      <c r="AA18" s="256"/>
      <c r="AB18" s="254" t="e">
        <f>IF(AND('Mapa final'!#REF!="Alta",'Mapa final'!#REF!="Mayor"),CONCATENATE("R",'Mapa final'!#REF!),"")</f>
        <v>#REF!</v>
      </c>
      <c r="AC18" s="255"/>
      <c r="AD18" s="255" t="e">
        <f>IF(AND('Mapa final'!#REF!="Alta",'Mapa final'!#REF!="Mayor"),CONCATENATE("R",'Mapa final'!#REF!),"")</f>
        <v>#REF!</v>
      </c>
      <c r="AE18" s="255"/>
      <c r="AF18" s="255" t="e">
        <f>IF(AND('Mapa final'!#REF!="Alta",'Mapa final'!#REF!="Mayor"),CONCATENATE("R",'Mapa final'!#REF!),"")</f>
        <v>#REF!</v>
      </c>
      <c r="AG18" s="256"/>
      <c r="AH18" s="245" t="e">
        <f>IF(AND('Mapa final'!#REF!="Alta",'Mapa final'!#REF!="Catastrófico"),CONCATENATE("R",'Mapa final'!#REF!),"")</f>
        <v>#REF!</v>
      </c>
      <c r="AI18" s="246"/>
      <c r="AJ18" s="246" t="e">
        <f>IF(AND('Mapa final'!#REF!="Alta",'Mapa final'!#REF!="Catastrófico"),CONCATENATE("R",'Mapa final'!#REF!),"")</f>
        <v>#REF!</v>
      </c>
      <c r="AK18" s="246"/>
      <c r="AL18" s="246" t="e">
        <f>IF(AND('Mapa final'!#REF!="Alta",'Mapa final'!#REF!="Catastrófico"),CONCATENATE("R",'Mapa final'!#REF!),"")</f>
        <v>#REF!</v>
      </c>
      <c r="AM18" s="247"/>
      <c r="AN18" s="75"/>
      <c r="AO18" s="288"/>
      <c r="AP18" s="289"/>
      <c r="AQ18" s="289"/>
      <c r="AR18" s="289"/>
      <c r="AS18" s="289"/>
      <c r="AT18" s="290"/>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74"/>
      <c r="C19" s="274"/>
      <c r="D19" s="275"/>
      <c r="E19" s="267"/>
      <c r="F19" s="268"/>
      <c r="G19" s="268"/>
      <c r="H19" s="268"/>
      <c r="I19" s="268"/>
      <c r="J19" s="236"/>
      <c r="K19" s="237"/>
      <c r="L19" s="237"/>
      <c r="M19" s="237"/>
      <c r="N19" s="237"/>
      <c r="O19" s="238"/>
      <c r="P19" s="236"/>
      <c r="Q19" s="237"/>
      <c r="R19" s="237"/>
      <c r="S19" s="237"/>
      <c r="T19" s="237"/>
      <c r="U19" s="238"/>
      <c r="V19" s="254"/>
      <c r="W19" s="255"/>
      <c r="X19" s="255"/>
      <c r="Y19" s="255"/>
      <c r="Z19" s="255"/>
      <c r="AA19" s="256"/>
      <c r="AB19" s="254"/>
      <c r="AC19" s="255"/>
      <c r="AD19" s="255"/>
      <c r="AE19" s="255"/>
      <c r="AF19" s="255"/>
      <c r="AG19" s="256"/>
      <c r="AH19" s="245"/>
      <c r="AI19" s="246"/>
      <c r="AJ19" s="246"/>
      <c r="AK19" s="246"/>
      <c r="AL19" s="246"/>
      <c r="AM19" s="247"/>
      <c r="AN19" s="75"/>
      <c r="AO19" s="288"/>
      <c r="AP19" s="289"/>
      <c r="AQ19" s="289"/>
      <c r="AR19" s="289"/>
      <c r="AS19" s="289"/>
      <c r="AT19" s="290"/>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74"/>
      <c r="C20" s="274"/>
      <c r="D20" s="275"/>
      <c r="E20" s="267"/>
      <c r="F20" s="268"/>
      <c r="G20" s="268"/>
      <c r="H20" s="268"/>
      <c r="I20" s="268"/>
      <c r="J20" s="236" t="e">
        <f>IF(AND('Mapa final'!#REF!="Alta",'Mapa final'!#REF!="Leve"),CONCATENATE("R",'Mapa final'!#REF!),"")</f>
        <v>#REF!</v>
      </c>
      <c r="K20" s="237"/>
      <c r="L20" s="237" t="str">
        <f>IF(AND('Mapa final'!$L$15="Alta",'Mapa final'!$P$15="Leve"),CONCATENATE("R",'Mapa final'!$A$15),"")</f>
        <v/>
      </c>
      <c r="M20" s="237"/>
      <c r="N20" s="237" t="str">
        <f>IF(AND('Mapa final'!$L$17="Alta",'Mapa final'!$P$17="Leve"),CONCATENATE("R",'Mapa final'!$A$17),"")</f>
        <v/>
      </c>
      <c r="O20" s="238"/>
      <c r="P20" s="236" t="e">
        <f>IF(AND('Mapa final'!#REF!="Alta",'Mapa final'!#REF!="Menor"),CONCATENATE("R",'Mapa final'!#REF!),"")</f>
        <v>#REF!</v>
      </c>
      <c r="Q20" s="237"/>
      <c r="R20" s="237" t="str">
        <f>IF(AND('Mapa final'!$L$15="Alta",'Mapa final'!$P$15="Menor"),CONCATENATE("R",'Mapa final'!$A$15),"")</f>
        <v/>
      </c>
      <c r="S20" s="237"/>
      <c r="T20" s="237" t="str">
        <f>IF(AND('Mapa final'!$L$17="Alta",'Mapa final'!$P$17="Menor"),CONCATENATE("R",'Mapa final'!$A$17),"")</f>
        <v/>
      </c>
      <c r="U20" s="238"/>
      <c r="V20" s="254" t="e">
        <f>IF(AND('Mapa final'!#REF!="Alta",'Mapa final'!#REF!="Moderado"),CONCATENATE("R",'Mapa final'!#REF!),"")</f>
        <v>#REF!</v>
      </c>
      <c r="W20" s="255"/>
      <c r="X20" s="255" t="str">
        <f>IF(AND('Mapa final'!$L$15="Alta",'Mapa final'!$P$15="Moderado"),CONCATENATE("R",'Mapa final'!$A$15),"")</f>
        <v/>
      </c>
      <c r="Y20" s="255"/>
      <c r="Z20" s="255" t="str">
        <f>IF(AND('Mapa final'!$L$17="Alta",'Mapa final'!$P$17="Moderado"),CONCATENATE("R",'Mapa final'!$A$17),"")</f>
        <v/>
      </c>
      <c r="AA20" s="256"/>
      <c r="AB20" s="254" t="e">
        <f>IF(AND('Mapa final'!#REF!="Alta",'Mapa final'!#REF!="Mayor"),CONCATENATE("R",'Mapa final'!#REF!),"")</f>
        <v>#REF!</v>
      </c>
      <c r="AC20" s="255"/>
      <c r="AD20" s="255" t="str">
        <f>IF(AND('Mapa final'!$L$15="Alta",'Mapa final'!$P$15="Mayor"),CONCATENATE("R",'Mapa final'!$A$15),"")</f>
        <v/>
      </c>
      <c r="AE20" s="255"/>
      <c r="AF20" s="255" t="str">
        <f>IF(AND('Mapa final'!$L$17="Alta",'Mapa final'!$P$17="Mayor"),CONCATENATE("R",'Mapa final'!$A$17),"")</f>
        <v/>
      </c>
      <c r="AG20" s="256"/>
      <c r="AH20" s="245" t="e">
        <f>IF(AND('Mapa final'!#REF!="Alta",'Mapa final'!#REF!="Catastrófico"),CONCATENATE("R",'Mapa final'!#REF!),"")</f>
        <v>#REF!</v>
      </c>
      <c r="AI20" s="246"/>
      <c r="AJ20" s="246" t="str">
        <f>IF(AND('Mapa final'!$L$15="Alta",'Mapa final'!$P$15="Catastrófico"),CONCATENATE("R",'Mapa final'!$A$15),"")</f>
        <v/>
      </c>
      <c r="AK20" s="246"/>
      <c r="AL20" s="246" t="str">
        <f>IF(AND('Mapa final'!$L$17="Alta",'Mapa final'!$P$17="Catastrófico"),CONCATENATE("R",'Mapa final'!$A$17),"")</f>
        <v/>
      </c>
      <c r="AM20" s="247"/>
      <c r="AN20" s="75"/>
      <c r="AO20" s="288"/>
      <c r="AP20" s="289"/>
      <c r="AQ20" s="289"/>
      <c r="AR20" s="289"/>
      <c r="AS20" s="289"/>
      <c r="AT20" s="290"/>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74"/>
      <c r="C21" s="274"/>
      <c r="D21" s="275"/>
      <c r="E21" s="270"/>
      <c r="F21" s="271"/>
      <c r="G21" s="271"/>
      <c r="H21" s="271"/>
      <c r="I21" s="271"/>
      <c r="J21" s="239"/>
      <c r="K21" s="240"/>
      <c r="L21" s="240"/>
      <c r="M21" s="240"/>
      <c r="N21" s="240"/>
      <c r="O21" s="241"/>
      <c r="P21" s="239"/>
      <c r="Q21" s="240"/>
      <c r="R21" s="240"/>
      <c r="S21" s="240"/>
      <c r="T21" s="240"/>
      <c r="U21" s="241"/>
      <c r="V21" s="257"/>
      <c r="W21" s="258"/>
      <c r="X21" s="258"/>
      <c r="Y21" s="258"/>
      <c r="Z21" s="258"/>
      <c r="AA21" s="259"/>
      <c r="AB21" s="257"/>
      <c r="AC21" s="258"/>
      <c r="AD21" s="258"/>
      <c r="AE21" s="258"/>
      <c r="AF21" s="258"/>
      <c r="AG21" s="259"/>
      <c r="AH21" s="248"/>
      <c r="AI21" s="249"/>
      <c r="AJ21" s="249"/>
      <c r="AK21" s="249"/>
      <c r="AL21" s="249"/>
      <c r="AM21" s="250"/>
      <c r="AN21" s="75"/>
      <c r="AO21" s="291"/>
      <c r="AP21" s="292"/>
      <c r="AQ21" s="292"/>
      <c r="AR21" s="292"/>
      <c r="AS21" s="292"/>
      <c r="AT21" s="293"/>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74"/>
      <c r="C22" s="274"/>
      <c r="D22" s="275"/>
      <c r="E22" s="264" t="s">
        <v>184</v>
      </c>
      <c r="F22" s="265"/>
      <c r="G22" s="265"/>
      <c r="H22" s="265"/>
      <c r="I22" s="266"/>
      <c r="J22" s="242" t="e">
        <f>IF(AND('Mapa final'!#REF!="Media",'Mapa final'!#REF!="Leve"),CONCATENATE("R",'Mapa final'!#REF!),"")</f>
        <v>#REF!</v>
      </c>
      <c r="K22" s="243"/>
      <c r="L22" s="243" t="str">
        <f>IF(AND('Mapa final'!$L$12="Media",'Mapa final'!$P$12="Leve"),CONCATENATE("R",'Mapa final'!$A$12),"")</f>
        <v/>
      </c>
      <c r="M22" s="243"/>
      <c r="N22" s="243" t="e">
        <f>IF(AND('Mapa final'!#REF!="Media",'Mapa final'!#REF!="Leve"),CONCATENATE("R",'Mapa final'!#REF!),"")</f>
        <v>#REF!</v>
      </c>
      <c r="O22" s="244"/>
      <c r="P22" s="242" t="e">
        <f>IF(AND('Mapa final'!#REF!="Media",'Mapa final'!#REF!="Menor"),CONCATENATE("R",'Mapa final'!#REF!),"")</f>
        <v>#REF!</v>
      </c>
      <c r="Q22" s="243"/>
      <c r="R22" s="243" t="str">
        <f>IF(AND('Mapa final'!$L$12="Media",'Mapa final'!$P$12="Menor"),CONCATENATE("R",'Mapa final'!$A$12),"")</f>
        <v/>
      </c>
      <c r="S22" s="243"/>
      <c r="T22" s="243" t="e">
        <f>IF(AND('Mapa final'!#REF!="Media",'Mapa final'!#REF!="Menor"),CONCATENATE("R",'Mapa final'!#REF!),"")</f>
        <v>#REF!</v>
      </c>
      <c r="U22" s="244"/>
      <c r="V22" s="242" t="e">
        <f>IF(AND('Mapa final'!#REF!="Media",'Mapa final'!#REF!="Moderado"),CONCATENATE("R",'Mapa final'!#REF!),"")</f>
        <v>#REF!</v>
      </c>
      <c r="W22" s="243"/>
      <c r="X22" s="243" t="str">
        <f>IF(AND('Mapa final'!$L$12="Media",'Mapa final'!$P$12="Moderado"),CONCATENATE("R",'Mapa final'!$A$12),"")</f>
        <v/>
      </c>
      <c r="Y22" s="243"/>
      <c r="Z22" s="243" t="e">
        <f>IF(AND('Mapa final'!#REF!="Media",'Mapa final'!#REF!="Moderado"),CONCATENATE("R",'Mapa final'!#REF!),"")</f>
        <v>#REF!</v>
      </c>
      <c r="AA22" s="244"/>
      <c r="AB22" s="260" t="e">
        <f>IF(AND('Mapa final'!#REF!="Media",'Mapa final'!#REF!="Mayor"),CONCATENATE("R",'Mapa final'!#REF!),"")</f>
        <v>#REF!</v>
      </c>
      <c r="AC22" s="261"/>
      <c r="AD22" s="261" t="str">
        <f>IF(AND('Mapa final'!$L$12="Media",'Mapa final'!$P$12="Mayor"),CONCATENATE("R",'Mapa final'!$A$12),"")</f>
        <v/>
      </c>
      <c r="AE22" s="261"/>
      <c r="AF22" s="261" t="e">
        <f>IF(AND('Mapa final'!#REF!="Media",'Mapa final'!#REF!="Mayor"),CONCATENATE("R",'Mapa final'!#REF!),"")</f>
        <v>#REF!</v>
      </c>
      <c r="AG22" s="262"/>
      <c r="AH22" s="251" t="e">
        <f>IF(AND('Mapa final'!#REF!="Media",'Mapa final'!#REF!="Catastrófico"),CONCATENATE("R",'Mapa final'!#REF!),"")</f>
        <v>#REF!</v>
      </c>
      <c r="AI22" s="252"/>
      <c r="AJ22" s="252" t="str">
        <f>IF(AND('Mapa final'!$L$12="Media",'Mapa final'!$P$12="Catastrófico"),CONCATENATE("R",'Mapa final'!$A$12),"")</f>
        <v/>
      </c>
      <c r="AK22" s="252"/>
      <c r="AL22" s="252" t="e">
        <f>IF(AND('Mapa final'!#REF!="Media",'Mapa final'!#REF!="Catastrófico"),CONCATENATE("R",'Mapa final'!#REF!),"")</f>
        <v>#REF!</v>
      </c>
      <c r="AM22" s="253"/>
      <c r="AN22" s="75"/>
      <c r="AO22" s="294" t="s">
        <v>185</v>
      </c>
      <c r="AP22" s="295"/>
      <c r="AQ22" s="295"/>
      <c r="AR22" s="295"/>
      <c r="AS22" s="295"/>
      <c r="AT22" s="296"/>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74"/>
      <c r="C23" s="274"/>
      <c r="D23" s="275"/>
      <c r="E23" s="267"/>
      <c r="F23" s="268"/>
      <c r="G23" s="268"/>
      <c r="H23" s="268"/>
      <c r="I23" s="269"/>
      <c r="J23" s="236"/>
      <c r="K23" s="237"/>
      <c r="L23" s="237"/>
      <c r="M23" s="237"/>
      <c r="N23" s="237"/>
      <c r="O23" s="238"/>
      <c r="P23" s="236"/>
      <c r="Q23" s="237"/>
      <c r="R23" s="237"/>
      <c r="S23" s="237"/>
      <c r="T23" s="237"/>
      <c r="U23" s="238"/>
      <c r="V23" s="236"/>
      <c r="W23" s="237"/>
      <c r="X23" s="237"/>
      <c r="Y23" s="237"/>
      <c r="Z23" s="237"/>
      <c r="AA23" s="238"/>
      <c r="AB23" s="254"/>
      <c r="AC23" s="255"/>
      <c r="AD23" s="255"/>
      <c r="AE23" s="255"/>
      <c r="AF23" s="255"/>
      <c r="AG23" s="256"/>
      <c r="AH23" s="245"/>
      <c r="AI23" s="246"/>
      <c r="AJ23" s="246"/>
      <c r="AK23" s="246"/>
      <c r="AL23" s="246"/>
      <c r="AM23" s="247"/>
      <c r="AN23" s="75"/>
      <c r="AO23" s="297"/>
      <c r="AP23" s="298"/>
      <c r="AQ23" s="298"/>
      <c r="AR23" s="298"/>
      <c r="AS23" s="298"/>
      <c r="AT23" s="299"/>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74"/>
      <c r="C24" s="274"/>
      <c r="D24" s="275"/>
      <c r="E24" s="267"/>
      <c r="F24" s="268"/>
      <c r="G24" s="268"/>
      <c r="H24" s="268"/>
      <c r="I24" s="269"/>
      <c r="J24" s="236" t="e">
        <f>IF(AND('Mapa final'!#REF!="Media",'Mapa final'!#REF!="Leve"),CONCATENATE("R",'Mapa final'!#REF!),"")</f>
        <v>#REF!</v>
      </c>
      <c r="K24" s="237"/>
      <c r="L24" s="237" t="e">
        <f>IF(AND('Mapa final'!#REF!="Media",'Mapa final'!#REF!="Leve"),CONCATENATE("R",'Mapa final'!#REF!),"")</f>
        <v>#REF!</v>
      </c>
      <c r="M24" s="237"/>
      <c r="N24" s="237" t="e">
        <f>IF(AND('Mapa final'!#REF!="Media",'Mapa final'!#REF!="Leve"),CONCATENATE("R",'Mapa final'!#REF!),"")</f>
        <v>#REF!</v>
      </c>
      <c r="O24" s="238"/>
      <c r="P24" s="236" t="e">
        <f>IF(AND('Mapa final'!#REF!="Media",'Mapa final'!#REF!="Menor"),CONCATENATE("R",'Mapa final'!#REF!),"")</f>
        <v>#REF!</v>
      </c>
      <c r="Q24" s="237"/>
      <c r="R24" s="237" t="e">
        <f>IF(AND('Mapa final'!#REF!="Media",'Mapa final'!#REF!="Menor"),CONCATENATE("R",'Mapa final'!#REF!),"")</f>
        <v>#REF!</v>
      </c>
      <c r="S24" s="237"/>
      <c r="T24" s="237" t="e">
        <f>IF(AND('Mapa final'!#REF!="Media",'Mapa final'!#REF!="Menor"),CONCATENATE("R",'Mapa final'!#REF!),"")</f>
        <v>#REF!</v>
      </c>
      <c r="U24" s="238"/>
      <c r="V24" s="236" t="e">
        <f>IF(AND('Mapa final'!#REF!="Media",'Mapa final'!#REF!="Moderado"),CONCATENATE("R",'Mapa final'!#REF!),"")</f>
        <v>#REF!</v>
      </c>
      <c r="W24" s="237"/>
      <c r="X24" s="237" t="e">
        <f>IF(AND('Mapa final'!#REF!="Media",'Mapa final'!#REF!="Moderado"),CONCATENATE("R",'Mapa final'!#REF!),"")</f>
        <v>#REF!</v>
      </c>
      <c r="Y24" s="237"/>
      <c r="Z24" s="237" t="e">
        <f>IF(AND('Mapa final'!#REF!="Media",'Mapa final'!#REF!="Moderado"),CONCATENATE("R",'Mapa final'!#REF!),"")</f>
        <v>#REF!</v>
      </c>
      <c r="AA24" s="238"/>
      <c r="AB24" s="254" t="e">
        <f>IF(AND('Mapa final'!#REF!="Media",'Mapa final'!#REF!="Mayor"),CONCATENATE("R",'Mapa final'!#REF!),"")</f>
        <v>#REF!</v>
      </c>
      <c r="AC24" s="255"/>
      <c r="AD24" s="255" t="e">
        <f>IF(AND('Mapa final'!#REF!="Media",'Mapa final'!#REF!="Mayor"),CONCATENATE("R",'Mapa final'!#REF!),"")</f>
        <v>#REF!</v>
      </c>
      <c r="AE24" s="255"/>
      <c r="AF24" s="255" t="e">
        <f>IF(AND('Mapa final'!#REF!="Media",'Mapa final'!#REF!="Mayor"),CONCATENATE("R",'Mapa final'!#REF!),"")</f>
        <v>#REF!</v>
      </c>
      <c r="AG24" s="256"/>
      <c r="AH24" s="245" t="e">
        <f>IF(AND('Mapa final'!#REF!="Media",'Mapa final'!#REF!="Catastrófico"),CONCATENATE("R",'Mapa final'!#REF!),"")</f>
        <v>#REF!</v>
      </c>
      <c r="AI24" s="246"/>
      <c r="AJ24" s="246" t="e">
        <f>IF(AND('Mapa final'!#REF!="Media",'Mapa final'!#REF!="Catastrófico"),CONCATENATE("R",'Mapa final'!#REF!),"")</f>
        <v>#REF!</v>
      </c>
      <c r="AK24" s="246"/>
      <c r="AL24" s="246" t="e">
        <f>IF(AND('Mapa final'!#REF!="Media",'Mapa final'!#REF!="Catastrófico"),CONCATENATE("R",'Mapa final'!#REF!),"")</f>
        <v>#REF!</v>
      </c>
      <c r="AM24" s="247"/>
      <c r="AN24" s="75"/>
      <c r="AO24" s="297"/>
      <c r="AP24" s="298"/>
      <c r="AQ24" s="298"/>
      <c r="AR24" s="298"/>
      <c r="AS24" s="298"/>
      <c r="AT24" s="299"/>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74"/>
      <c r="C25" s="274"/>
      <c r="D25" s="275"/>
      <c r="E25" s="267"/>
      <c r="F25" s="268"/>
      <c r="G25" s="268"/>
      <c r="H25" s="268"/>
      <c r="I25" s="269"/>
      <c r="J25" s="236"/>
      <c r="K25" s="237"/>
      <c r="L25" s="237"/>
      <c r="M25" s="237"/>
      <c r="N25" s="237"/>
      <c r="O25" s="238"/>
      <c r="P25" s="236"/>
      <c r="Q25" s="237"/>
      <c r="R25" s="237"/>
      <c r="S25" s="237"/>
      <c r="T25" s="237"/>
      <c r="U25" s="238"/>
      <c r="V25" s="236"/>
      <c r="W25" s="237"/>
      <c r="X25" s="237"/>
      <c r="Y25" s="237"/>
      <c r="Z25" s="237"/>
      <c r="AA25" s="238"/>
      <c r="AB25" s="254"/>
      <c r="AC25" s="255"/>
      <c r="AD25" s="255"/>
      <c r="AE25" s="255"/>
      <c r="AF25" s="255"/>
      <c r="AG25" s="256"/>
      <c r="AH25" s="245"/>
      <c r="AI25" s="246"/>
      <c r="AJ25" s="246"/>
      <c r="AK25" s="246"/>
      <c r="AL25" s="246"/>
      <c r="AM25" s="247"/>
      <c r="AN25" s="75"/>
      <c r="AO25" s="297"/>
      <c r="AP25" s="298"/>
      <c r="AQ25" s="298"/>
      <c r="AR25" s="298"/>
      <c r="AS25" s="298"/>
      <c r="AT25" s="299"/>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74"/>
      <c r="C26" s="274"/>
      <c r="D26" s="275"/>
      <c r="E26" s="267"/>
      <c r="F26" s="268"/>
      <c r="G26" s="268"/>
      <c r="H26" s="268"/>
      <c r="I26" s="269"/>
      <c r="J26" s="236" t="e">
        <f>IF(AND('Mapa final'!#REF!="Media",'Mapa final'!#REF!="Leve"),CONCATENATE("R",'Mapa final'!#REF!),"")</f>
        <v>#REF!</v>
      </c>
      <c r="K26" s="237"/>
      <c r="L26" s="237" t="e">
        <f>IF(AND('Mapa final'!#REF!="Media",'Mapa final'!#REF!="Leve"),CONCATENATE("R",'Mapa final'!#REF!),"")</f>
        <v>#REF!</v>
      </c>
      <c r="M26" s="237"/>
      <c r="N26" s="237" t="e">
        <f>IF(AND('Mapa final'!#REF!="Media",'Mapa final'!#REF!="Leve"),CONCATENATE("R",'Mapa final'!#REF!),"")</f>
        <v>#REF!</v>
      </c>
      <c r="O26" s="238"/>
      <c r="P26" s="236" t="e">
        <f>IF(AND('Mapa final'!#REF!="Media",'Mapa final'!#REF!="Menor"),CONCATENATE("R",'Mapa final'!#REF!),"")</f>
        <v>#REF!</v>
      </c>
      <c r="Q26" s="237"/>
      <c r="R26" s="237" t="e">
        <f>IF(AND('Mapa final'!#REF!="Media",'Mapa final'!#REF!="Menor"),CONCATENATE("R",'Mapa final'!#REF!),"")</f>
        <v>#REF!</v>
      </c>
      <c r="S26" s="237"/>
      <c r="T26" s="237" t="e">
        <f>IF(AND('Mapa final'!#REF!="Media",'Mapa final'!#REF!="Menor"),CONCATENATE("R",'Mapa final'!#REF!),"")</f>
        <v>#REF!</v>
      </c>
      <c r="U26" s="238"/>
      <c r="V26" s="236" t="e">
        <f>IF(AND('Mapa final'!#REF!="Media",'Mapa final'!#REF!="Moderado"),CONCATENATE("R",'Mapa final'!#REF!),"")</f>
        <v>#REF!</v>
      </c>
      <c r="W26" s="237"/>
      <c r="X26" s="237" t="e">
        <f>IF(AND('Mapa final'!#REF!="Media",'Mapa final'!#REF!="Moderado"),CONCATENATE("R",'Mapa final'!#REF!),"")</f>
        <v>#REF!</v>
      </c>
      <c r="Y26" s="237"/>
      <c r="Z26" s="237" t="e">
        <f>IF(AND('Mapa final'!#REF!="Media",'Mapa final'!#REF!="Moderado"),CONCATENATE("R",'Mapa final'!#REF!),"")</f>
        <v>#REF!</v>
      </c>
      <c r="AA26" s="238"/>
      <c r="AB26" s="254" t="e">
        <f>IF(AND('Mapa final'!#REF!="Media",'Mapa final'!#REF!="Mayor"),CONCATENATE("R",'Mapa final'!#REF!),"")</f>
        <v>#REF!</v>
      </c>
      <c r="AC26" s="255"/>
      <c r="AD26" s="255" t="e">
        <f>IF(AND('Mapa final'!#REF!="Media",'Mapa final'!#REF!="Mayor"),CONCATENATE("R",'Mapa final'!#REF!),"")</f>
        <v>#REF!</v>
      </c>
      <c r="AE26" s="255"/>
      <c r="AF26" s="255" t="e">
        <f>IF(AND('Mapa final'!#REF!="Media",'Mapa final'!#REF!="Mayor"),CONCATENATE("R",'Mapa final'!#REF!),"")</f>
        <v>#REF!</v>
      </c>
      <c r="AG26" s="256"/>
      <c r="AH26" s="245" t="e">
        <f>IF(AND('Mapa final'!#REF!="Media",'Mapa final'!#REF!="Catastrófico"),CONCATENATE("R",'Mapa final'!#REF!),"")</f>
        <v>#REF!</v>
      </c>
      <c r="AI26" s="246"/>
      <c r="AJ26" s="246" t="e">
        <f>IF(AND('Mapa final'!#REF!="Media",'Mapa final'!#REF!="Catastrófico"),CONCATENATE("R",'Mapa final'!#REF!),"")</f>
        <v>#REF!</v>
      </c>
      <c r="AK26" s="246"/>
      <c r="AL26" s="246" t="e">
        <f>IF(AND('Mapa final'!#REF!="Media",'Mapa final'!#REF!="Catastrófico"),CONCATENATE("R",'Mapa final'!#REF!),"")</f>
        <v>#REF!</v>
      </c>
      <c r="AM26" s="247"/>
      <c r="AN26" s="75"/>
      <c r="AO26" s="297"/>
      <c r="AP26" s="298"/>
      <c r="AQ26" s="298"/>
      <c r="AR26" s="298"/>
      <c r="AS26" s="298"/>
      <c r="AT26" s="299"/>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74"/>
      <c r="C27" s="274"/>
      <c r="D27" s="275"/>
      <c r="E27" s="267"/>
      <c r="F27" s="268"/>
      <c r="G27" s="268"/>
      <c r="H27" s="268"/>
      <c r="I27" s="269"/>
      <c r="J27" s="236"/>
      <c r="K27" s="237"/>
      <c r="L27" s="237"/>
      <c r="M27" s="237"/>
      <c r="N27" s="237"/>
      <c r="O27" s="238"/>
      <c r="P27" s="236"/>
      <c r="Q27" s="237"/>
      <c r="R27" s="237"/>
      <c r="S27" s="237"/>
      <c r="T27" s="237"/>
      <c r="U27" s="238"/>
      <c r="V27" s="236"/>
      <c r="W27" s="237"/>
      <c r="X27" s="237"/>
      <c r="Y27" s="237"/>
      <c r="Z27" s="237"/>
      <c r="AA27" s="238"/>
      <c r="AB27" s="254"/>
      <c r="AC27" s="255"/>
      <c r="AD27" s="255"/>
      <c r="AE27" s="255"/>
      <c r="AF27" s="255"/>
      <c r="AG27" s="256"/>
      <c r="AH27" s="245"/>
      <c r="AI27" s="246"/>
      <c r="AJ27" s="246"/>
      <c r="AK27" s="246"/>
      <c r="AL27" s="246"/>
      <c r="AM27" s="247"/>
      <c r="AN27" s="75"/>
      <c r="AO27" s="297"/>
      <c r="AP27" s="298"/>
      <c r="AQ27" s="298"/>
      <c r="AR27" s="298"/>
      <c r="AS27" s="298"/>
      <c r="AT27" s="299"/>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74"/>
      <c r="C28" s="274"/>
      <c r="D28" s="275"/>
      <c r="E28" s="267"/>
      <c r="F28" s="268"/>
      <c r="G28" s="268"/>
      <c r="H28" s="268"/>
      <c r="I28" s="269"/>
      <c r="J28" s="236" t="e">
        <f>IF(AND('Mapa final'!#REF!="Media",'Mapa final'!#REF!="Leve"),CONCATENATE("R",'Mapa final'!#REF!),"")</f>
        <v>#REF!</v>
      </c>
      <c r="K28" s="237"/>
      <c r="L28" s="237" t="str">
        <f>IF(AND('Mapa final'!$L$15="Media",'Mapa final'!$P$15="Leve"),CONCATENATE("R",'Mapa final'!$A$15),"")</f>
        <v/>
      </c>
      <c r="M28" s="237"/>
      <c r="N28" s="237" t="str">
        <f>IF(AND('Mapa final'!$L$17="Media",'Mapa final'!$P$17="Leve"),CONCATENATE("R",'Mapa final'!$A$17),"")</f>
        <v/>
      </c>
      <c r="O28" s="238"/>
      <c r="P28" s="236" t="e">
        <f>IF(AND('Mapa final'!#REF!="Media",'Mapa final'!#REF!="Menor"),CONCATENATE("R",'Mapa final'!#REF!),"")</f>
        <v>#REF!</v>
      </c>
      <c r="Q28" s="237"/>
      <c r="R28" s="237" t="str">
        <f>IF(AND('Mapa final'!$L$15="Media",'Mapa final'!$P$15="Menor"),CONCATENATE("R",'Mapa final'!$A$15),"")</f>
        <v/>
      </c>
      <c r="S28" s="237"/>
      <c r="T28" s="237" t="str">
        <f>IF(AND('Mapa final'!$L$17="Media",'Mapa final'!$P$17="Menor"),CONCATENATE("R",'Mapa final'!$A$17),"")</f>
        <v/>
      </c>
      <c r="U28" s="238"/>
      <c r="V28" s="236" t="e">
        <f>IF(AND('Mapa final'!#REF!="Media",'Mapa final'!#REF!="Moderado"),CONCATENATE("R",'Mapa final'!#REF!),"")</f>
        <v>#REF!</v>
      </c>
      <c r="W28" s="237"/>
      <c r="X28" s="237" t="str">
        <f>IF(AND('Mapa final'!$L$15="Media",'Mapa final'!$P$15="Moderado"),CONCATENATE("R",'Mapa final'!$A$15),"")</f>
        <v/>
      </c>
      <c r="Y28" s="237"/>
      <c r="Z28" s="237" t="str">
        <f>IF(AND('Mapa final'!$L$17="Media",'Mapa final'!$P$17="Moderado"),CONCATENATE("R",'Mapa final'!$A$17),"")</f>
        <v/>
      </c>
      <c r="AA28" s="238"/>
      <c r="AB28" s="254" t="e">
        <f>IF(AND('Mapa final'!#REF!="Media",'Mapa final'!#REF!="Mayor"),CONCATENATE("R",'Mapa final'!#REF!),"")</f>
        <v>#REF!</v>
      </c>
      <c r="AC28" s="255"/>
      <c r="AD28" s="255" t="str">
        <f>IF(AND('Mapa final'!$L$15="Media",'Mapa final'!$P$15="Mayor"),CONCATENATE("R",'Mapa final'!$A$15),"")</f>
        <v/>
      </c>
      <c r="AE28" s="255"/>
      <c r="AF28" s="255" t="str">
        <f>IF(AND('Mapa final'!$L$17="Media",'Mapa final'!$P$17="Mayor"),CONCATENATE("R",'Mapa final'!$A$17),"")</f>
        <v/>
      </c>
      <c r="AG28" s="256"/>
      <c r="AH28" s="245" t="e">
        <f>IF(AND('Mapa final'!#REF!="Media",'Mapa final'!#REF!="Catastrófico"),CONCATENATE("R",'Mapa final'!#REF!),"")</f>
        <v>#REF!</v>
      </c>
      <c r="AI28" s="246"/>
      <c r="AJ28" s="246" t="str">
        <f>IF(AND('Mapa final'!$L$15="Media",'Mapa final'!$P$15="Catastrófico"),CONCATENATE("R",'Mapa final'!$A$15),"")</f>
        <v/>
      </c>
      <c r="AK28" s="246"/>
      <c r="AL28" s="246" t="str">
        <f>IF(AND('Mapa final'!$L$17="Media",'Mapa final'!$P$17="Catastrófico"),CONCATENATE("R",'Mapa final'!$A$17),"")</f>
        <v/>
      </c>
      <c r="AM28" s="247"/>
      <c r="AN28" s="75"/>
      <c r="AO28" s="297"/>
      <c r="AP28" s="298"/>
      <c r="AQ28" s="298"/>
      <c r="AR28" s="298"/>
      <c r="AS28" s="298"/>
      <c r="AT28" s="299"/>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74"/>
      <c r="C29" s="274"/>
      <c r="D29" s="275"/>
      <c r="E29" s="270"/>
      <c r="F29" s="271"/>
      <c r="G29" s="271"/>
      <c r="H29" s="271"/>
      <c r="I29" s="272"/>
      <c r="J29" s="236"/>
      <c r="K29" s="237"/>
      <c r="L29" s="237"/>
      <c r="M29" s="237"/>
      <c r="N29" s="237"/>
      <c r="O29" s="238"/>
      <c r="P29" s="239"/>
      <c r="Q29" s="240"/>
      <c r="R29" s="240"/>
      <c r="S29" s="240"/>
      <c r="T29" s="240"/>
      <c r="U29" s="241"/>
      <c r="V29" s="239"/>
      <c r="W29" s="240"/>
      <c r="X29" s="240"/>
      <c r="Y29" s="240"/>
      <c r="Z29" s="240"/>
      <c r="AA29" s="241"/>
      <c r="AB29" s="257"/>
      <c r="AC29" s="258"/>
      <c r="AD29" s="258"/>
      <c r="AE29" s="258"/>
      <c r="AF29" s="258"/>
      <c r="AG29" s="259"/>
      <c r="AH29" s="248"/>
      <c r="AI29" s="249"/>
      <c r="AJ29" s="249"/>
      <c r="AK29" s="249"/>
      <c r="AL29" s="249"/>
      <c r="AM29" s="250"/>
      <c r="AN29" s="75"/>
      <c r="AO29" s="300"/>
      <c r="AP29" s="301"/>
      <c r="AQ29" s="301"/>
      <c r="AR29" s="301"/>
      <c r="AS29" s="301"/>
      <c r="AT29" s="302"/>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74"/>
      <c r="C30" s="274"/>
      <c r="D30" s="275"/>
      <c r="E30" s="264" t="s">
        <v>186</v>
      </c>
      <c r="F30" s="265"/>
      <c r="G30" s="265"/>
      <c r="H30" s="265"/>
      <c r="I30" s="265"/>
      <c r="J30" s="233" t="e">
        <f>IF(AND('Mapa final'!#REF!="Baja",'Mapa final'!#REF!="Leve"),CONCATENATE("R",'Mapa final'!#REF!),"")</f>
        <v>#REF!</v>
      </c>
      <c r="K30" s="234"/>
      <c r="L30" s="234" t="str">
        <f>IF(AND('Mapa final'!$L$12="Baja",'Mapa final'!$P$12="Leve"),CONCATENATE("R",'Mapa final'!$A$12),"")</f>
        <v/>
      </c>
      <c r="M30" s="234"/>
      <c r="N30" s="234" t="e">
        <f>IF(AND('Mapa final'!#REF!="Baja",'Mapa final'!#REF!="Leve"),CONCATENATE("R",'Mapa final'!#REF!),"")</f>
        <v>#REF!</v>
      </c>
      <c r="O30" s="235"/>
      <c r="P30" s="243" t="e">
        <f>IF(AND('Mapa final'!#REF!="Baja",'Mapa final'!#REF!="Menor"),CONCATENATE("R",'Mapa final'!#REF!),"")</f>
        <v>#REF!</v>
      </c>
      <c r="Q30" s="243"/>
      <c r="R30" s="243" t="str">
        <f>IF(AND('Mapa final'!$L$12="Baja",'Mapa final'!$P$12="Menor"),CONCATENATE("R",'Mapa final'!$A$12),"")</f>
        <v/>
      </c>
      <c r="S30" s="243"/>
      <c r="T30" s="243" t="e">
        <f>IF(AND('Mapa final'!#REF!="Baja",'Mapa final'!#REF!="Menor"),CONCATENATE("R",'Mapa final'!#REF!),"")</f>
        <v>#REF!</v>
      </c>
      <c r="U30" s="244"/>
      <c r="V30" s="242" t="e">
        <f>IF(AND('Mapa final'!#REF!="Baja",'Mapa final'!#REF!="Moderado"),CONCATENATE("R",'Mapa final'!#REF!),"")</f>
        <v>#REF!</v>
      </c>
      <c r="W30" s="243"/>
      <c r="X30" s="243" t="str">
        <f>IF(AND('Mapa final'!$L$12="Baja",'Mapa final'!$P$12="Moderado"),CONCATENATE("R",'Mapa final'!$A$12),"")</f>
        <v>R1</v>
      </c>
      <c r="Y30" s="243"/>
      <c r="Z30" s="243" t="e">
        <f>IF(AND('Mapa final'!#REF!="Baja",'Mapa final'!#REF!="Moderado"),CONCATENATE("R",'Mapa final'!#REF!),"")</f>
        <v>#REF!</v>
      </c>
      <c r="AA30" s="244"/>
      <c r="AB30" s="260" t="e">
        <f>IF(AND('Mapa final'!#REF!="Baja",'Mapa final'!#REF!="Mayor"),CONCATENATE("R",'Mapa final'!#REF!),"")</f>
        <v>#REF!</v>
      </c>
      <c r="AC30" s="261"/>
      <c r="AD30" s="261" t="str">
        <f>IF(AND('Mapa final'!$L$12="Baja",'Mapa final'!$P$12="Mayor"),CONCATENATE("R",'Mapa final'!$A$12),"")</f>
        <v/>
      </c>
      <c r="AE30" s="261"/>
      <c r="AF30" s="261" t="e">
        <f>IF(AND('Mapa final'!#REF!="Baja",'Mapa final'!#REF!="Mayor"),CONCATENATE("R",'Mapa final'!#REF!),"")</f>
        <v>#REF!</v>
      </c>
      <c r="AG30" s="262"/>
      <c r="AH30" s="251" t="e">
        <f>IF(AND('Mapa final'!#REF!="Baja",'Mapa final'!#REF!="Catastrófico"),CONCATENATE("R",'Mapa final'!#REF!),"")</f>
        <v>#REF!</v>
      </c>
      <c r="AI30" s="252"/>
      <c r="AJ30" s="252" t="str">
        <f>IF(AND('Mapa final'!$L$12="Baja",'Mapa final'!$P$12="Catastrófico"),CONCATENATE("R",'Mapa final'!$A$12),"")</f>
        <v/>
      </c>
      <c r="AK30" s="252"/>
      <c r="AL30" s="252" t="e">
        <f>IF(AND('Mapa final'!#REF!="Baja",'Mapa final'!#REF!="Catastrófico"),CONCATENATE("R",'Mapa final'!#REF!),"")</f>
        <v>#REF!</v>
      </c>
      <c r="AM30" s="253"/>
      <c r="AN30" s="75"/>
      <c r="AO30" s="303" t="s">
        <v>187</v>
      </c>
      <c r="AP30" s="304"/>
      <c r="AQ30" s="304"/>
      <c r="AR30" s="304"/>
      <c r="AS30" s="304"/>
      <c r="AT30" s="30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74"/>
      <c r="C31" s="274"/>
      <c r="D31" s="275"/>
      <c r="E31" s="267"/>
      <c r="F31" s="268"/>
      <c r="G31" s="268"/>
      <c r="H31" s="268"/>
      <c r="I31" s="268"/>
      <c r="J31" s="227"/>
      <c r="K31" s="228"/>
      <c r="L31" s="228"/>
      <c r="M31" s="228"/>
      <c r="N31" s="228"/>
      <c r="O31" s="229"/>
      <c r="P31" s="237"/>
      <c r="Q31" s="237"/>
      <c r="R31" s="237"/>
      <c r="S31" s="237"/>
      <c r="T31" s="237"/>
      <c r="U31" s="238"/>
      <c r="V31" s="236"/>
      <c r="W31" s="237"/>
      <c r="X31" s="237"/>
      <c r="Y31" s="237"/>
      <c r="Z31" s="237"/>
      <c r="AA31" s="238"/>
      <c r="AB31" s="254"/>
      <c r="AC31" s="255"/>
      <c r="AD31" s="255"/>
      <c r="AE31" s="255"/>
      <c r="AF31" s="255"/>
      <c r="AG31" s="256"/>
      <c r="AH31" s="245"/>
      <c r="AI31" s="246"/>
      <c r="AJ31" s="246"/>
      <c r="AK31" s="246"/>
      <c r="AL31" s="246"/>
      <c r="AM31" s="247"/>
      <c r="AN31" s="75"/>
      <c r="AO31" s="306"/>
      <c r="AP31" s="307"/>
      <c r="AQ31" s="307"/>
      <c r="AR31" s="307"/>
      <c r="AS31" s="307"/>
      <c r="AT31" s="308"/>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74"/>
      <c r="C32" s="274"/>
      <c r="D32" s="275"/>
      <c r="E32" s="267"/>
      <c r="F32" s="268"/>
      <c r="G32" s="268"/>
      <c r="H32" s="268"/>
      <c r="I32" s="268"/>
      <c r="J32" s="227" t="e">
        <f>IF(AND('Mapa final'!#REF!="Baja",'Mapa final'!#REF!="Leve"),CONCATENATE("R",'Mapa final'!#REF!),"")</f>
        <v>#REF!</v>
      </c>
      <c r="K32" s="228"/>
      <c r="L32" s="228" t="e">
        <f>IF(AND('Mapa final'!#REF!="Baja",'Mapa final'!#REF!="Leve"),CONCATENATE("R",'Mapa final'!#REF!),"")</f>
        <v>#REF!</v>
      </c>
      <c r="M32" s="228"/>
      <c r="N32" s="228" t="e">
        <f>IF(AND('Mapa final'!#REF!="Baja",'Mapa final'!#REF!="Leve"),CONCATENATE("R",'Mapa final'!#REF!),"")</f>
        <v>#REF!</v>
      </c>
      <c r="O32" s="229"/>
      <c r="P32" s="237" t="e">
        <f>IF(AND('Mapa final'!#REF!="Baja",'Mapa final'!#REF!="Menor"),CONCATENATE("R",'Mapa final'!#REF!),"")</f>
        <v>#REF!</v>
      </c>
      <c r="Q32" s="237"/>
      <c r="R32" s="237" t="e">
        <f>IF(AND('Mapa final'!#REF!="Baja",'Mapa final'!#REF!="Menor"),CONCATENATE("R",'Mapa final'!#REF!),"")</f>
        <v>#REF!</v>
      </c>
      <c r="S32" s="237"/>
      <c r="T32" s="237" t="e">
        <f>IF(AND('Mapa final'!#REF!="Baja",'Mapa final'!#REF!="Menor"),CONCATENATE("R",'Mapa final'!#REF!),"")</f>
        <v>#REF!</v>
      </c>
      <c r="U32" s="238"/>
      <c r="V32" s="236" t="e">
        <f>IF(AND('Mapa final'!#REF!="Baja",'Mapa final'!#REF!="Moderado"),CONCATENATE("R",'Mapa final'!#REF!),"")</f>
        <v>#REF!</v>
      </c>
      <c r="W32" s="237"/>
      <c r="X32" s="237" t="e">
        <f>IF(AND('Mapa final'!#REF!="Baja",'Mapa final'!#REF!="Moderado"),CONCATENATE("R",'Mapa final'!#REF!),"")</f>
        <v>#REF!</v>
      </c>
      <c r="Y32" s="237"/>
      <c r="Z32" s="237" t="e">
        <f>IF(AND('Mapa final'!#REF!="Baja",'Mapa final'!#REF!="Moderado"),CONCATENATE("R",'Mapa final'!#REF!),"")</f>
        <v>#REF!</v>
      </c>
      <c r="AA32" s="238"/>
      <c r="AB32" s="254" t="e">
        <f>IF(AND('Mapa final'!#REF!="Baja",'Mapa final'!#REF!="Mayor"),CONCATENATE("R",'Mapa final'!#REF!),"")</f>
        <v>#REF!</v>
      </c>
      <c r="AC32" s="255"/>
      <c r="AD32" s="255" t="e">
        <f>IF(AND('Mapa final'!#REF!="Baja",'Mapa final'!#REF!="Mayor"),CONCATENATE("R",'Mapa final'!#REF!),"")</f>
        <v>#REF!</v>
      </c>
      <c r="AE32" s="255"/>
      <c r="AF32" s="255" t="e">
        <f>IF(AND('Mapa final'!#REF!="Baja",'Mapa final'!#REF!="Mayor"),CONCATENATE("R",'Mapa final'!#REF!),"")</f>
        <v>#REF!</v>
      </c>
      <c r="AG32" s="256"/>
      <c r="AH32" s="245" t="e">
        <f>IF(AND('Mapa final'!#REF!="Baja",'Mapa final'!#REF!="Catastrófico"),CONCATENATE("R",'Mapa final'!#REF!),"")</f>
        <v>#REF!</v>
      </c>
      <c r="AI32" s="246"/>
      <c r="AJ32" s="246" t="e">
        <f>IF(AND('Mapa final'!#REF!="Baja",'Mapa final'!#REF!="Catastrófico"),CONCATENATE("R",'Mapa final'!#REF!),"")</f>
        <v>#REF!</v>
      </c>
      <c r="AK32" s="246"/>
      <c r="AL32" s="246" t="e">
        <f>IF(AND('Mapa final'!#REF!="Baja",'Mapa final'!#REF!="Catastrófico"),CONCATENATE("R",'Mapa final'!#REF!),"")</f>
        <v>#REF!</v>
      </c>
      <c r="AM32" s="247"/>
      <c r="AN32" s="75"/>
      <c r="AO32" s="306"/>
      <c r="AP32" s="307"/>
      <c r="AQ32" s="307"/>
      <c r="AR32" s="307"/>
      <c r="AS32" s="307"/>
      <c r="AT32" s="308"/>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74"/>
      <c r="C33" s="274"/>
      <c r="D33" s="275"/>
      <c r="E33" s="267"/>
      <c r="F33" s="268"/>
      <c r="G33" s="268"/>
      <c r="H33" s="268"/>
      <c r="I33" s="268"/>
      <c r="J33" s="227"/>
      <c r="K33" s="228"/>
      <c r="L33" s="228"/>
      <c r="M33" s="228"/>
      <c r="N33" s="228"/>
      <c r="O33" s="229"/>
      <c r="P33" s="237"/>
      <c r="Q33" s="237"/>
      <c r="R33" s="237"/>
      <c r="S33" s="237"/>
      <c r="T33" s="237"/>
      <c r="U33" s="238"/>
      <c r="V33" s="236"/>
      <c r="W33" s="237"/>
      <c r="X33" s="237"/>
      <c r="Y33" s="237"/>
      <c r="Z33" s="237"/>
      <c r="AA33" s="238"/>
      <c r="AB33" s="254"/>
      <c r="AC33" s="255"/>
      <c r="AD33" s="255"/>
      <c r="AE33" s="255"/>
      <c r="AF33" s="255"/>
      <c r="AG33" s="256"/>
      <c r="AH33" s="245"/>
      <c r="AI33" s="246"/>
      <c r="AJ33" s="246"/>
      <c r="AK33" s="246"/>
      <c r="AL33" s="246"/>
      <c r="AM33" s="247"/>
      <c r="AN33" s="75"/>
      <c r="AO33" s="306"/>
      <c r="AP33" s="307"/>
      <c r="AQ33" s="307"/>
      <c r="AR33" s="307"/>
      <c r="AS33" s="307"/>
      <c r="AT33" s="308"/>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74"/>
      <c r="C34" s="274"/>
      <c r="D34" s="275"/>
      <c r="E34" s="267"/>
      <c r="F34" s="268"/>
      <c r="G34" s="268"/>
      <c r="H34" s="268"/>
      <c r="I34" s="268"/>
      <c r="J34" s="227" t="e">
        <f>IF(AND('Mapa final'!#REF!="Baja",'Mapa final'!#REF!="Leve"),CONCATENATE("R",'Mapa final'!#REF!),"")</f>
        <v>#REF!</v>
      </c>
      <c r="K34" s="228"/>
      <c r="L34" s="228" t="e">
        <f>IF(AND('Mapa final'!#REF!="Baja",'Mapa final'!#REF!="Leve"),CONCATENATE("R",'Mapa final'!#REF!),"")</f>
        <v>#REF!</v>
      </c>
      <c r="M34" s="228"/>
      <c r="N34" s="228" t="e">
        <f>IF(AND('Mapa final'!#REF!="Baja",'Mapa final'!#REF!="Leve"),CONCATENATE("R",'Mapa final'!#REF!),"")</f>
        <v>#REF!</v>
      </c>
      <c r="O34" s="229"/>
      <c r="P34" s="237" t="e">
        <f>IF(AND('Mapa final'!#REF!="Baja",'Mapa final'!#REF!="Menor"),CONCATENATE("R",'Mapa final'!#REF!),"")</f>
        <v>#REF!</v>
      </c>
      <c r="Q34" s="237"/>
      <c r="R34" s="237" t="e">
        <f>IF(AND('Mapa final'!#REF!="Baja",'Mapa final'!#REF!="Menor"),CONCATENATE("R",'Mapa final'!#REF!),"")</f>
        <v>#REF!</v>
      </c>
      <c r="S34" s="237"/>
      <c r="T34" s="237" t="e">
        <f>IF(AND('Mapa final'!#REF!="Baja",'Mapa final'!#REF!="Menor"),CONCATENATE("R",'Mapa final'!#REF!),"")</f>
        <v>#REF!</v>
      </c>
      <c r="U34" s="238"/>
      <c r="V34" s="236" t="e">
        <f>IF(AND('Mapa final'!#REF!="Baja",'Mapa final'!#REF!="Moderado"),CONCATENATE("R",'Mapa final'!#REF!),"")</f>
        <v>#REF!</v>
      </c>
      <c r="W34" s="237"/>
      <c r="X34" s="237" t="e">
        <f>IF(AND('Mapa final'!#REF!="Baja",'Mapa final'!#REF!="Moderado"),CONCATENATE("R",'Mapa final'!#REF!),"")</f>
        <v>#REF!</v>
      </c>
      <c r="Y34" s="237"/>
      <c r="Z34" s="237" t="e">
        <f>IF(AND('Mapa final'!#REF!="Baja",'Mapa final'!#REF!="Moderado"),CONCATENATE("R",'Mapa final'!#REF!),"")</f>
        <v>#REF!</v>
      </c>
      <c r="AA34" s="238"/>
      <c r="AB34" s="254" t="e">
        <f>IF(AND('Mapa final'!#REF!="Baja",'Mapa final'!#REF!="Mayor"),CONCATENATE("R",'Mapa final'!#REF!),"")</f>
        <v>#REF!</v>
      </c>
      <c r="AC34" s="255"/>
      <c r="AD34" s="255" t="e">
        <f>IF(AND('Mapa final'!#REF!="Baja",'Mapa final'!#REF!="Mayor"),CONCATENATE("R",'Mapa final'!#REF!),"")</f>
        <v>#REF!</v>
      </c>
      <c r="AE34" s="255"/>
      <c r="AF34" s="255" t="e">
        <f>IF(AND('Mapa final'!#REF!="Baja",'Mapa final'!#REF!="Mayor"),CONCATENATE("R",'Mapa final'!#REF!),"")</f>
        <v>#REF!</v>
      </c>
      <c r="AG34" s="256"/>
      <c r="AH34" s="245" t="e">
        <f>IF(AND('Mapa final'!#REF!="Baja",'Mapa final'!#REF!="Catastrófico"),CONCATENATE("R",'Mapa final'!#REF!),"")</f>
        <v>#REF!</v>
      </c>
      <c r="AI34" s="246"/>
      <c r="AJ34" s="246" t="e">
        <f>IF(AND('Mapa final'!#REF!="Baja",'Mapa final'!#REF!="Catastrófico"),CONCATENATE("R",'Mapa final'!#REF!),"")</f>
        <v>#REF!</v>
      </c>
      <c r="AK34" s="246"/>
      <c r="AL34" s="246" t="e">
        <f>IF(AND('Mapa final'!#REF!="Baja",'Mapa final'!#REF!="Catastrófico"),CONCATENATE("R",'Mapa final'!#REF!),"")</f>
        <v>#REF!</v>
      </c>
      <c r="AM34" s="247"/>
      <c r="AN34" s="75"/>
      <c r="AO34" s="306"/>
      <c r="AP34" s="307"/>
      <c r="AQ34" s="307"/>
      <c r="AR34" s="307"/>
      <c r="AS34" s="307"/>
      <c r="AT34" s="308"/>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74"/>
      <c r="C35" s="274"/>
      <c r="D35" s="275"/>
      <c r="E35" s="267"/>
      <c r="F35" s="268"/>
      <c r="G35" s="268"/>
      <c r="H35" s="268"/>
      <c r="I35" s="268"/>
      <c r="J35" s="227"/>
      <c r="K35" s="228"/>
      <c r="L35" s="228"/>
      <c r="M35" s="228"/>
      <c r="N35" s="228"/>
      <c r="O35" s="229"/>
      <c r="P35" s="237"/>
      <c r="Q35" s="237"/>
      <c r="R35" s="237"/>
      <c r="S35" s="237"/>
      <c r="T35" s="237"/>
      <c r="U35" s="238"/>
      <c r="V35" s="236"/>
      <c r="W35" s="237"/>
      <c r="X35" s="237"/>
      <c r="Y35" s="237"/>
      <c r="Z35" s="237"/>
      <c r="AA35" s="238"/>
      <c r="AB35" s="254"/>
      <c r="AC35" s="255"/>
      <c r="AD35" s="255"/>
      <c r="AE35" s="255"/>
      <c r="AF35" s="255"/>
      <c r="AG35" s="256"/>
      <c r="AH35" s="245"/>
      <c r="AI35" s="246"/>
      <c r="AJ35" s="246"/>
      <c r="AK35" s="246"/>
      <c r="AL35" s="246"/>
      <c r="AM35" s="247"/>
      <c r="AN35" s="75"/>
      <c r="AO35" s="306"/>
      <c r="AP35" s="307"/>
      <c r="AQ35" s="307"/>
      <c r="AR35" s="307"/>
      <c r="AS35" s="307"/>
      <c r="AT35" s="308"/>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74"/>
      <c r="C36" s="274"/>
      <c r="D36" s="275"/>
      <c r="E36" s="267"/>
      <c r="F36" s="268"/>
      <c r="G36" s="268"/>
      <c r="H36" s="268"/>
      <c r="I36" s="268"/>
      <c r="J36" s="227" t="e">
        <f>IF(AND('Mapa final'!#REF!="Baja",'Mapa final'!#REF!="Leve"),CONCATENATE("R",'Mapa final'!#REF!),"")</f>
        <v>#REF!</v>
      </c>
      <c r="K36" s="228"/>
      <c r="L36" s="228" t="str">
        <f>IF(AND('Mapa final'!$L$15="Baja",'Mapa final'!$P$15="Leve"),CONCATENATE("R",'Mapa final'!$A$15),"")</f>
        <v/>
      </c>
      <c r="M36" s="228"/>
      <c r="N36" s="228" t="str">
        <f>IF(AND('Mapa final'!$L$17="Baja",'Mapa final'!$P$17="Leve"),CONCATENATE("R",'Mapa final'!$A$17),"")</f>
        <v/>
      </c>
      <c r="O36" s="229"/>
      <c r="P36" s="237" t="e">
        <f>IF(AND('Mapa final'!#REF!="Baja",'Mapa final'!#REF!="Menor"),CONCATENATE("R",'Mapa final'!#REF!),"")</f>
        <v>#REF!</v>
      </c>
      <c r="Q36" s="237"/>
      <c r="R36" s="237" t="str">
        <f>IF(AND('Mapa final'!$L$15="Baja",'Mapa final'!$P$15="Menor"),CONCATENATE("R",'Mapa final'!$A$15),"")</f>
        <v/>
      </c>
      <c r="S36" s="237"/>
      <c r="T36" s="237" t="str">
        <f>IF(AND('Mapa final'!$L$17="Baja",'Mapa final'!$P$17="Menor"),CONCATENATE("R",'Mapa final'!$A$17),"")</f>
        <v/>
      </c>
      <c r="U36" s="238"/>
      <c r="V36" s="236" t="e">
        <f>IF(AND('Mapa final'!#REF!="Baja",'Mapa final'!#REF!="Moderado"),CONCATENATE("R",'Mapa final'!#REF!),"")</f>
        <v>#REF!</v>
      </c>
      <c r="W36" s="237"/>
      <c r="X36" s="237" t="str">
        <f>IF(AND('Mapa final'!$L$15="Baja",'Mapa final'!$P$15="Moderado"),CONCATENATE("R",'Mapa final'!$A$15),"")</f>
        <v/>
      </c>
      <c r="Y36" s="237"/>
      <c r="Z36" s="237" t="str">
        <f>IF(AND('Mapa final'!$L$17="Baja",'Mapa final'!$P$17="Moderado"),CONCATENATE("R",'Mapa final'!$A$17),"")</f>
        <v/>
      </c>
      <c r="AA36" s="238"/>
      <c r="AB36" s="254" t="e">
        <f>IF(AND('Mapa final'!#REF!="Baja",'Mapa final'!#REF!="Mayor"),CONCATENATE("R",'Mapa final'!#REF!),"")</f>
        <v>#REF!</v>
      </c>
      <c r="AC36" s="255"/>
      <c r="AD36" s="255" t="str">
        <f>IF(AND('Mapa final'!$L$15="Baja",'Mapa final'!$P$15="Mayor"),CONCATENATE("R",'Mapa final'!$A$15),"")</f>
        <v/>
      </c>
      <c r="AE36" s="255"/>
      <c r="AF36" s="255" t="str">
        <f>IF(AND('Mapa final'!$L$17="Baja",'Mapa final'!$P$17="Mayor"),CONCATENATE("R",'Mapa final'!$A$17),"")</f>
        <v/>
      </c>
      <c r="AG36" s="256"/>
      <c r="AH36" s="245" t="e">
        <f>IF(AND('Mapa final'!#REF!="Baja",'Mapa final'!#REF!="Catastrófico"),CONCATENATE("R",'Mapa final'!#REF!),"")</f>
        <v>#REF!</v>
      </c>
      <c r="AI36" s="246"/>
      <c r="AJ36" s="246" t="str">
        <f>IF(AND('Mapa final'!$L$15="Baja",'Mapa final'!$P$15="Catastrófico"),CONCATENATE("R",'Mapa final'!$A$15),"")</f>
        <v/>
      </c>
      <c r="AK36" s="246"/>
      <c r="AL36" s="246" t="str">
        <f>IF(AND('Mapa final'!$L$17="Baja",'Mapa final'!$P$17="Catastrófico"),CONCATENATE("R",'Mapa final'!$A$17),"")</f>
        <v/>
      </c>
      <c r="AM36" s="247"/>
      <c r="AN36" s="75"/>
      <c r="AO36" s="306"/>
      <c r="AP36" s="307"/>
      <c r="AQ36" s="307"/>
      <c r="AR36" s="307"/>
      <c r="AS36" s="307"/>
      <c r="AT36" s="308"/>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74"/>
      <c r="C37" s="274"/>
      <c r="D37" s="275"/>
      <c r="E37" s="270"/>
      <c r="F37" s="271"/>
      <c r="G37" s="271"/>
      <c r="H37" s="271"/>
      <c r="I37" s="271"/>
      <c r="J37" s="230"/>
      <c r="K37" s="231"/>
      <c r="L37" s="231"/>
      <c r="M37" s="231"/>
      <c r="N37" s="231"/>
      <c r="O37" s="232"/>
      <c r="P37" s="240"/>
      <c r="Q37" s="240"/>
      <c r="R37" s="240"/>
      <c r="S37" s="240"/>
      <c r="T37" s="240"/>
      <c r="U37" s="241"/>
      <c r="V37" s="239"/>
      <c r="W37" s="240"/>
      <c r="X37" s="240"/>
      <c r="Y37" s="240"/>
      <c r="Z37" s="240"/>
      <c r="AA37" s="241"/>
      <c r="AB37" s="257"/>
      <c r="AC37" s="258"/>
      <c r="AD37" s="258"/>
      <c r="AE37" s="258"/>
      <c r="AF37" s="258"/>
      <c r="AG37" s="259"/>
      <c r="AH37" s="248"/>
      <c r="AI37" s="249"/>
      <c r="AJ37" s="249"/>
      <c r="AK37" s="249"/>
      <c r="AL37" s="249"/>
      <c r="AM37" s="250"/>
      <c r="AN37" s="75"/>
      <c r="AO37" s="309"/>
      <c r="AP37" s="310"/>
      <c r="AQ37" s="310"/>
      <c r="AR37" s="310"/>
      <c r="AS37" s="310"/>
      <c r="AT37" s="311"/>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74"/>
      <c r="C38" s="274"/>
      <c r="D38" s="275"/>
      <c r="E38" s="264" t="s">
        <v>188</v>
      </c>
      <c r="F38" s="265"/>
      <c r="G38" s="265"/>
      <c r="H38" s="265"/>
      <c r="I38" s="266"/>
      <c r="J38" s="233" t="e">
        <f>IF(AND('Mapa final'!#REF!="Muy Baja",'Mapa final'!#REF!="Leve"),CONCATENATE("R",'Mapa final'!#REF!),"")</f>
        <v>#REF!</v>
      </c>
      <c r="K38" s="234"/>
      <c r="L38" s="234" t="str">
        <f>IF(AND('Mapa final'!$L$12="Muy Baja",'Mapa final'!$P$12="Leve"),CONCATENATE("R",'Mapa final'!$A$12),"")</f>
        <v/>
      </c>
      <c r="M38" s="234"/>
      <c r="N38" s="234" t="e">
        <f>IF(AND('Mapa final'!#REF!="Muy Baja",'Mapa final'!#REF!="Leve"),CONCATENATE("R",'Mapa final'!#REF!),"")</f>
        <v>#REF!</v>
      </c>
      <c r="O38" s="235"/>
      <c r="P38" s="233" t="e">
        <f>IF(AND('Mapa final'!#REF!="Muy Baja",'Mapa final'!#REF!="Menor"),CONCATENATE("R",'Mapa final'!#REF!),"")</f>
        <v>#REF!</v>
      </c>
      <c r="Q38" s="234"/>
      <c r="R38" s="234" t="str">
        <f>IF(AND('Mapa final'!$L$12="Muy Baja",'Mapa final'!$P$12="Menor"),CONCATENATE("R",'Mapa final'!$A$12),"")</f>
        <v/>
      </c>
      <c r="S38" s="234"/>
      <c r="T38" s="234" t="e">
        <f>IF(AND('Mapa final'!#REF!="Muy Baja",'Mapa final'!#REF!="Menor"),CONCATENATE("R",'Mapa final'!#REF!),"")</f>
        <v>#REF!</v>
      </c>
      <c r="U38" s="235"/>
      <c r="V38" s="242" t="e">
        <f>IF(AND('Mapa final'!#REF!="Muy Baja",'Mapa final'!#REF!="Moderado"),CONCATENATE("R",'Mapa final'!#REF!),"")</f>
        <v>#REF!</v>
      </c>
      <c r="W38" s="243"/>
      <c r="X38" s="243" t="str">
        <f>IF(AND('Mapa final'!$L$12="Muy Baja",'Mapa final'!$P$12="Moderado"),CONCATENATE("R",'Mapa final'!$A$12),"")</f>
        <v/>
      </c>
      <c r="Y38" s="243"/>
      <c r="Z38" s="243" t="e">
        <f>IF(AND('Mapa final'!#REF!="Muy Baja",'Mapa final'!#REF!="Moderado"),CONCATENATE("R",'Mapa final'!#REF!),"")</f>
        <v>#REF!</v>
      </c>
      <c r="AA38" s="244"/>
      <c r="AB38" s="260" t="e">
        <f>IF(AND('Mapa final'!#REF!="Muy Baja",'Mapa final'!#REF!="Mayor"),CONCATENATE("R",'Mapa final'!#REF!),"")</f>
        <v>#REF!</v>
      </c>
      <c r="AC38" s="261"/>
      <c r="AD38" s="261" t="str">
        <f>IF(AND('Mapa final'!$L$12="Muy Baja",'Mapa final'!$P$12="Mayor"),CONCATENATE("R",'Mapa final'!$A$12),"")</f>
        <v/>
      </c>
      <c r="AE38" s="261"/>
      <c r="AF38" s="261" t="e">
        <f>IF(AND('Mapa final'!#REF!="Muy Baja",'Mapa final'!#REF!="Mayor"),CONCATENATE("R",'Mapa final'!#REF!),"")</f>
        <v>#REF!</v>
      </c>
      <c r="AG38" s="262"/>
      <c r="AH38" s="251" t="e">
        <f>IF(AND('Mapa final'!#REF!="Muy Baja",'Mapa final'!#REF!="Catastrófico"),CONCATENATE("R",'Mapa final'!#REF!),"")</f>
        <v>#REF!</v>
      </c>
      <c r="AI38" s="252"/>
      <c r="AJ38" s="252" t="str">
        <f>IF(AND('Mapa final'!$L$12="Muy Baja",'Mapa final'!$P$12="Catastrófico"),CONCATENATE("R",'Mapa final'!$A$12),"")</f>
        <v/>
      </c>
      <c r="AK38" s="252"/>
      <c r="AL38" s="252" t="e">
        <f>IF(AND('Mapa final'!#REF!="Muy Baja",'Mapa final'!#REF!="Catastrófico"),CONCATENATE("R",'Mapa final'!#REF!),"")</f>
        <v>#REF!</v>
      </c>
      <c r="AM38" s="253"/>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74"/>
      <c r="C39" s="274"/>
      <c r="D39" s="275"/>
      <c r="E39" s="267"/>
      <c r="F39" s="268"/>
      <c r="G39" s="268"/>
      <c r="H39" s="268"/>
      <c r="I39" s="269"/>
      <c r="J39" s="227"/>
      <c r="K39" s="228"/>
      <c r="L39" s="228"/>
      <c r="M39" s="228"/>
      <c r="N39" s="228"/>
      <c r="O39" s="229"/>
      <c r="P39" s="227"/>
      <c r="Q39" s="228"/>
      <c r="R39" s="228"/>
      <c r="S39" s="228"/>
      <c r="T39" s="228"/>
      <c r="U39" s="229"/>
      <c r="V39" s="236"/>
      <c r="W39" s="237"/>
      <c r="X39" s="237"/>
      <c r="Y39" s="237"/>
      <c r="Z39" s="237"/>
      <c r="AA39" s="238"/>
      <c r="AB39" s="254"/>
      <c r="AC39" s="255"/>
      <c r="AD39" s="255"/>
      <c r="AE39" s="255"/>
      <c r="AF39" s="255"/>
      <c r="AG39" s="256"/>
      <c r="AH39" s="245"/>
      <c r="AI39" s="246"/>
      <c r="AJ39" s="246"/>
      <c r="AK39" s="246"/>
      <c r="AL39" s="246"/>
      <c r="AM39" s="247"/>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74"/>
      <c r="C40" s="274"/>
      <c r="D40" s="275"/>
      <c r="E40" s="267"/>
      <c r="F40" s="268"/>
      <c r="G40" s="268"/>
      <c r="H40" s="268"/>
      <c r="I40" s="269"/>
      <c r="J40" s="227" t="e">
        <f>IF(AND('Mapa final'!#REF!="Muy Baja",'Mapa final'!#REF!="Leve"),CONCATENATE("R",'Mapa final'!#REF!),"")</f>
        <v>#REF!</v>
      </c>
      <c r="K40" s="228"/>
      <c r="L40" s="228" t="e">
        <f>IF(AND('Mapa final'!#REF!="Muy Baja",'Mapa final'!#REF!="Leve"),CONCATENATE("R",'Mapa final'!#REF!),"")</f>
        <v>#REF!</v>
      </c>
      <c r="M40" s="228"/>
      <c r="N40" s="228" t="e">
        <f>IF(AND('Mapa final'!#REF!="Muy Baja",'Mapa final'!#REF!="Leve"),CONCATENATE("R",'Mapa final'!#REF!),"")</f>
        <v>#REF!</v>
      </c>
      <c r="O40" s="229"/>
      <c r="P40" s="227" t="e">
        <f>IF(AND('Mapa final'!#REF!="Muy Baja",'Mapa final'!#REF!="Menor"),CONCATENATE("R",'Mapa final'!#REF!),"")</f>
        <v>#REF!</v>
      </c>
      <c r="Q40" s="228"/>
      <c r="R40" s="228" t="e">
        <f>IF(AND('Mapa final'!#REF!="Muy Baja",'Mapa final'!#REF!="Menor"),CONCATENATE("R",'Mapa final'!#REF!),"")</f>
        <v>#REF!</v>
      </c>
      <c r="S40" s="228"/>
      <c r="T40" s="228" t="e">
        <f>IF(AND('Mapa final'!#REF!="Muy Baja",'Mapa final'!#REF!="Menor"),CONCATENATE("R",'Mapa final'!#REF!),"")</f>
        <v>#REF!</v>
      </c>
      <c r="U40" s="229"/>
      <c r="V40" s="236" t="e">
        <f>IF(AND('Mapa final'!#REF!="Muy Baja",'Mapa final'!#REF!="Moderado"),CONCATENATE("R",'Mapa final'!#REF!),"")</f>
        <v>#REF!</v>
      </c>
      <c r="W40" s="237"/>
      <c r="X40" s="237" t="e">
        <f>IF(AND('Mapa final'!#REF!="Muy Baja",'Mapa final'!#REF!="Moderado"),CONCATENATE("R",'Mapa final'!#REF!),"")</f>
        <v>#REF!</v>
      </c>
      <c r="Y40" s="237"/>
      <c r="Z40" s="237" t="e">
        <f>IF(AND('Mapa final'!#REF!="Muy Baja",'Mapa final'!#REF!="Moderado"),CONCATENATE("R",'Mapa final'!#REF!),"")</f>
        <v>#REF!</v>
      </c>
      <c r="AA40" s="238"/>
      <c r="AB40" s="254" t="e">
        <f>IF(AND('Mapa final'!#REF!="Muy Baja",'Mapa final'!#REF!="Mayor"),CONCATENATE("R",'Mapa final'!#REF!),"")</f>
        <v>#REF!</v>
      </c>
      <c r="AC40" s="255"/>
      <c r="AD40" s="255" t="e">
        <f>IF(AND('Mapa final'!#REF!="Muy Baja",'Mapa final'!#REF!="Mayor"),CONCATENATE("R",'Mapa final'!#REF!),"")</f>
        <v>#REF!</v>
      </c>
      <c r="AE40" s="255"/>
      <c r="AF40" s="255" t="e">
        <f>IF(AND('Mapa final'!#REF!="Muy Baja",'Mapa final'!#REF!="Mayor"),CONCATENATE("R",'Mapa final'!#REF!),"")</f>
        <v>#REF!</v>
      </c>
      <c r="AG40" s="256"/>
      <c r="AH40" s="245" t="e">
        <f>IF(AND('Mapa final'!#REF!="Muy Baja",'Mapa final'!#REF!="Catastrófico"),CONCATENATE("R",'Mapa final'!#REF!),"")</f>
        <v>#REF!</v>
      </c>
      <c r="AI40" s="246"/>
      <c r="AJ40" s="246" t="e">
        <f>IF(AND('Mapa final'!#REF!="Muy Baja",'Mapa final'!#REF!="Catastrófico"),CONCATENATE("R",'Mapa final'!#REF!),"")</f>
        <v>#REF!</v>
      </c>
      <c r="AK40" s="246"/>
      <c r="AL40" s="246" t="e">
        <f>IF(AND('Mapa final'!#REF!="Muy Baja",'Mapa final'!#REF!="Catastrófico"),CONCATENATE("R",'Mapa final'!#REF!),"")</f>
        <v>#REF!</v>
      </c>
      <c r="AM40" s="247"/>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74"/>
      <c r="C41" s="274"/>
      <c r="D41" s="275"/>
      <c r="E41" s="267"/>
      <c r="F41" s="268"/>
      <c r="G41" s="268"/>
      <c r="H41" s="268"/>
      <c r="I41" s="269"/>
      <c r="J41" s="227"/>
      <c r="K41" s="228"/>
      <c r="L41" s="228"/>
      <c r="M41" s="228"/>
      <c r="N41" s="228"/>
      <c r="O41" s="229"/>
      <c r="P41" s="227"/>
      <c r="Q41" s="228"/>
      <c r="R41" s="228"/>
      <c r="S41" s="228"/>
      <c r="T41" s="228"/>
      <c r="U41" s="229"/>
      <c r="V41" s="236"/>
      <c r="W41" s="237"/>
      <c r="X41" s="237"/>
      <c r="Y41" s="237"/>
      <c r="Z41" s="237"/>
      <c r="AA41" s="238"/>
      <c r="AB41" s="254"/>
      <c r="AC41" s="255"/>
      <c r="AD41" s="255"/>
      <c r="AE41" s="255"/>
      <c r="AF41" s="255"/>
      <c r="AG41" s="256"/>
      <c r="AH41" s="245"/>
      <c r="AI41" s="246"/>
      <c r="AJ41" s="246"/>
      <c r="AK41" s="246"/>
      <c r="AL41" s="246"/>
      <c r="AM41" s="247"/>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74"/>
      <c r="C42" s="274"/>
      <c r="D42" s="275"/>
      <c r="E42" s="267"/>
      <c r="F42" s="268"/>
      <c r="G42" s="268"/>
      <c r="H42" s="268"/>
      <c r="I42" s="269"/>
      <c r="J42" s="227" t="e">
        <f>IF(AND('Mapa final'!#REF!="Muy Baja",'Mapa final'!#REF!="Leve"),CONCATENATE("R",'Mapa final'!#REF!),"")</f>
        <v>#REF!</v>
      </c>
      <c r="K42" s="228"/>
      <c r="L42" s="228" t="e">
        <f>IF(AND('Mapa final'!#REF!="Muy Baja",'Mapa final'!#REF!="Leve"),CONCATENATE("R",'Mapa final'!#REF!),"")</f>
        <v>#REF!</v>
      </c>
      <c r="M42" s="228"/>
      <c r="N42" s="228" t="e">
        <f>IF(AND('Mapa final'!#REF!="Muy Baja",'Mapa final'!#REF!="Leve"),CONCATENATE("R",'Mapa final'!#REF!),"")</f>
        <v>#REF!</v>
      </c>
      <c r="O42" s="229"/>
      <c r="P42" s="227" t="e">
        <f>IF(AND('Mapa final'!#REF!="Muy Baja",'Mapa final'!#REF!="Menor"),CONCATENATE("R",'Mapa final'!#REF!),"")</f>
        <v>#REF!</v>
      </c>
      <c r="Q42" s="228"/>
      <c r="R42" s="228" t="e">
        <f>IF(AND('Mapa final'!#REF!="Muy Baja",'Mapa final'!#REF!="Menor"),CONCATENATE("R",'Mapa final'!#REF!),"")</f>
        <v>#REF!</v>
      </c>
      <c r="S42" s="228"/>
      <c r="T42" s="228" t="e">
        <f>IF(AND('Mapa final'!#REF!="Muy Baja",'Mapa final'!#REF!="Menor"),CONCATENATE("R",'Mapa final'!#REF!),"")</f>
        <v>#REF!</v>
      </c>
      <c r="U42" s="229"/>
      <c r="V42" s="236" t="e">
        <f>IF(AND('Mapa final'!#REF!="Muy Baja",'Mapa final'!#REF!="Moderado"),CONCATENATE("R",'Mapa final'!#REF!),"")</f>
        <v>#REF!</v>
      </c>
      <c r="W42" s="237"/>
      <c r="X42" s="237" t="e">
        <f>IF(AND('Mapa final'!#REF!="Muy Baja",'Mapa final'!#REF!="Moderado"),CONCATENATE("R",'Mapa final'!#REF!),"")</f>
        <v>#REF!</v>
      </c>
      <c r="Y42" s="237"/>
      <c r="Z42" s="237" t="e">
        <f>IF(AND('Mapa final'!#REF!="Muy Baja",'Mapa final'!#REF!="Moderado"),CONCATENATE("R",'Mapa final'!#REF!),"")</f>
        <v>#REF!</v>
      </c>
      <c r="AA42" s="238"/>
      <c r="AB42" s="254" t="e">
        <f>IF(AND('Mapa final'!#REF!="Muy Baja",'Mapa final'!#REF!="Mayor"),CONCATENATE("R",'Mapa final'!#REF!),"")</f>
        <v>#REF!</v>
      </c>
      <c r="AC42" s="255"/>
      <c r="AD42" s="255" t="e">
        <f>IF(AND('Mapa final'!#REF!="Muy Baja",'Mapa final'!#REF!="Mayor"),CONCATENATE("R",'Mapa final'!#REF!),"")</f>
        <v>#REF!</v>
      </c>
      <c r="AE42" s="255"/>
      <c r="AF42" s="255" t="e">
        <f>IF(AND('Mapa final'!#REF!="Muy Baja",'Mapa final'!#REF!="Mayor"),CONCATENATE("R",'Mapa final'!#REF!),"")</f>
        <v>#REF!</v>
      </c>
      <c r="AG42" s="256"/>
      <c r="AH42" s="245" t="e">
        <f>IF(AND('Mapa final'!#REF!="Muy Baja",'Mapa final'!#REF!="Catastrófico"),CONCATENATE("R",'Mapa final'!#REF!),"")</f>
        <v>#REF!</v>
      </c>
      <c r="AI42" s="246"/>
      <c r="AJ42" s="246" t="e">
        <f>IF(AND('Mapa final'!#REF!="Muy Baja",'Mapa final'!#REF!="Catastrófico"),CONCATENATE("R",'Mapa final'!#REF!),"")</f>
        <v>#REF!</v>
      </c>
      <c r="AK42" s="246"/>
      <c r="AL42" s="246" t="e">
        <f>IF(AND('Mapa final'!#REF!="Muy Baja",'Mapa final'!#REF!="Catastrófico"),CONCATENATE("R",'Mapa final'!#REF!),"")</f>
        <v>#REF!</v>
      </c>
      <c r="AM42" s="247"/>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74"/>
      <c r="C43" s="274"/>
      <c r="D43" s="275"/>
      <c r="E43" s="267"/>
      <c r="F43" s="268"/>
      <c r="G43" s="268"/>
      <c r="H43" s="268"/>
      <c r="I43" s="269"/>
      <c r="J43" s="227"/>
      <c r="K43" s="228"/>
      <c r="L43" s="228"/>
      <c r="M43" s="228"/>
      <c r="N43" s="228"/>
      <c r="O43" s="229"/>
      <c r="P43" s="227"/>
      <c r="Q43" s="228"/>
      <c r="R43" s="228"/>
      <c r="S43" s="228"/>
      <c r="T43" s="228"/>
      <c r="U43" s="229"/>
      <c r="V43" s="236"/>
      <c r="W43" s="237"/>
      <c r="X43" s="237"/>
      <c r="Y43" s="237"/>
      <c r="Z43" s="237"/>
      <c r="AA43" s="238"/>
      <c r="AB43" s="254"/>
      <c r="AC43" s="255"/>
      <c r="AD43" s="255"/>
      <c r="AE43" s="255"/>
      <c r="AF43" s="255"/>
      <c r="AG43" s="256"/>
      <c r="AH43" s="245"/>
      <c r="AI43" s="246"/>
      <c r="AJ43" s="246"/>
      <c r="AK43" s="246"/>
      <c r="AL43" s="246"/>
      <c r="AM43" s="247"/>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74"/>
      <c r="C44" s="274"/>
      <c r="D44" s="275"/>
      <c r="E44" s="267"/>
      <c r="F44" s="268"/>
      <c r="G44" s="268"/>
      <c r="H44" s="268"/>
      <c r="I44" s="269"/>
      <c r="J44" s="227" t="e">
        <f>IF(AND('Mapa final'!#REF!="Muy Baja",'Mapa final'!#REF!="Leve"),CONCATENATE("R",'Mapa final'!#REF!),"")</f>
        <v>#REF!</v>
      </c>
      <c r="K44" s="228"/>
      <c r="L44" s="228" t="str">
        <f>IF(AND('Mapa final'!$L$15="Muy Baja",'Mapa final'!$P$15="Leve"),CONCATENATE("R",'Mapa final'!$A$15),"")</f>
        <v/>
      </c>
      <c r="M44" s="228"/>
      <c r="N44" s="228" t="str">
        <f>IF(AND('Mapa final'!$L$17="Muy Baja",'Mapa final'!$P$17="Leve"),CONCATENATE("R",'Mapa final'!$A$17),"")</f>
        <v/>
      </c>
      <c r="O44" s="229"/>
      <c r="P44" s="227" t="e">
        <f>IF(AND('Mapa final'!#REF!="Muy Baja",'Mapa final'!#REF!="Menor"),CONCATENATE("R",'Mapa final'!#REF!),"")</f>
        <v>#REF!</v>
      </c>
      <c r="Q44" s="228"/>
      <c r="R44" s="228" t="str">
        <f>IF(AND('Mapa final'!$L$15="Muy Baja",'Mapa final'!$P$15="Menor"),CONCATENATE("R",'Mapa final'!$A$15),"")</f>
        <v/>
      </c>
      <c r="S44" s="228"/>
      <c r="T44" s="228" t="str">
        <f>IF(AND('Mapa final'!$L$17="Muy Baja",'Mapa final'!$P$17="Menor"),CONCATENATE("R",'Mapa final'!$A$17),"")</f>
        <v/>
      </c>
      <c r="U44" s="229"/>
      <c r="V44" s="236" t="e">
        <f>IF(AND('Mapa final'!#REF!="Muy Baja",'Mapa final'!#REF!="Moderado"),CONCATENATE("R",'Mapa final'!#REF!),"")</f>
        <v>#REF!</v>
      </c>
      <c r="W44" s="237"/>
      <c r="X44" s="237" t="str">
        <f>IF(AND('Mapa final'!$L$15="Muy Baja",'Mapa final'!$P$15="Moderado"),CONCATENATE("R",'Mapa final'!$A$15),"")</f>
        <v/>
      </c>
      <c r="Y44" s="237"/>
      <c r="Z44" s="237" t="str">
        <f>IF(AND('Mapa final'!$L$17="Muy Baja",'Mapa final'!$P$17="Moderado"),CONCATENATE("R",'Mapa final'!$A$17),"")</f>
        <v/>
      </c>
      <c r="AA44" s="238"/>
      <c r="AB44" s="254" t="e">
        <f>IF(AND('Mapa final'!#REF!="Muy Baja",'Mapa final'!#REF!="Mayor"),CONCATENATE("R",'Mapa final'!#REF!),"")</f>
        <v>#REF!</v>
      </c>
      <c r="AC44" s="255"/>
      <c r="AD44" s="255" t="str">
        <f>IF(AND('Mapa final'!$L$15="Muy Baja",'Mapa final'!$P$15="Mayor"),CONCATENATE("R",'Mapa final'!$A$15),"")</f>
        <v/>
      </c>
      <c r="AE44" s="255"/>
      <c r="AF44" s="255" t="str">
        <f>IF(AND('Mapa final'!$L$17="Muy Baja",'Mapa final'!$P$17="Mayor"),CONCATENATE("R",'Mapa final'!$A$17),"")</f>
        <v/>
      </c>
      <c r="AG44" s="256"/>
      <c r="AH44" s="245" t="e">
        <f>IF(AND('Mapa final'!#REF!="Muy Baja",'Mapa final'!#REF!="Catastrófico"),CONCATENATE("R",'Mapa final'!#REF!),"")</f>
        <v>#REF!</v>
      </c>
      <c r="AI44" s="246"/>
      <c r="AJ44" s="246" t="str">
        <f>IF(AND('Mapa final'!$L$15="Muy Baja",'Mapa final'!$P$15="Catastrófico"),CONCATENATE("R",'Mapa final'!$A$15),"")</f>
        <v/>
      </c>
      <c r="AK44" s="246"/>
      <c r="AL44" s="246" t="str">
        <f>IF(AND('Mapa final'!$L$17="Muy Baja",'Mapa final'!$P$17="Catastrófico"),CONCATENATE("R",'Mapa final'!$A$17),"")</f>
        <v/>
      </c>
      <c r="AM44" s="247"/>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74"/>
      <c r="C45" s="274"/>
      <c r="D45" s="275"/>
      <c r="E45" s="270"/>
      <c r="F45" s="271"/>
      <c r="G45" s="271"/>
      <c r="H45" s="271"/>
      <c r="I45" s="272"/>
      <c r="J45" s="230"/>
      <c r="K45" s="231"/>
      <c r="L45" s="231"/>
      <c r="M45" s="231"/>
      <c r="N45" s="231"/>
      <c r="O45" s="232"/>
      <c r="P45" s="230"/>
      <c r="Q45" s="231"/>
      <c r="R45" s="231"/>
      <c r="S45" s="231"/>
      <c r="T45" s="231"/>
      <c r="U45" s="232"/>
      <c r="V45" s="239"/>
      <c r="W45" s="240"/>
      <c r="X45" s="240"/>
      <c r="Y45" s="240"/>
      <c r="Z45" s="240"/>
      <c r="AA45" s="241"/>
      <c r="AB45" s="257"/>
      <c r="AC45" s="258"/>
      <c r="AD45" s="258"/>
      <c r="AE45" s="258"/>
      <c r="AF45" s="258"/>
      <c r="AG45" s="259"/>
      <c r="AH45" s="248"/>
      <c r="AI45" s="249"/>
      <c r="AJ45" s="249"/>
      <c r="AK45" s="249"/>
      <c r="AL45" s="249"/>
      <c r="AM45" s="250"/>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64" t="s">
        <v>189</v>
      </c>
      <c r="K46" s="265"/>
      <c r="L46" s="265"/>
      <c r="M46" s="265"/>
      <c r="N46" s="265"/>
      <c r="O46" s="266"/>
      <c r="P46" s="264" t="s">
        <v>190</v>
      </c>
      <c r="Q46" s="265"/>
      <c r="R46" s="265"/>
      <c r="S46" s="265"/>
      <c r="T46" s="265"/>
      <c r="U46" s="266"/>
      <c r="V46" s="264" t="s">
        <v>191</v>
      </c>
      <c r="W46" s="265"/>
      <c r="X46" s="265"/>
      <c r="Y46" s="265"/>
      <c r="Z46" s="265"/>
      <c r="AA46" s="266"/>
      <c r="AB46" s="264" t="s">
        <v>192</v>
      </c>
      <c r="AC46" s="273"/>
      <c r="AD46" s="265"/>
      <c r="AE46" s="265"/>
      <c r="AF46" s="265"/>
      <c r="AG46" s="266"/>
      <c r="AH46" s="264" t="s">
        <v>193</v>
      </c>
      <c r="AI46" s="265"/>
      <c r="AJ46" s="265"/>
      <c r="AK46" s="265"/>
      <c r="AL46" s="265"/>
      <c r="AM46" s="266"/>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67"/>
      <c r="K47" s="268"/>
      <c r="L47" s="268"/>
      <c r="M47" s="268"/>
      <c r="N47" s="268"/>
      <c r="O47" s="269"/>
      <c r="P47" s="267"/>
      <c r="Q47" s="268"/>
      <c r="R47" s="268"/>
      <c r="S47" s="268"/>
      <c r="T47" s="268"/>
      <c r="U47" s="269"/>
      <c r="V47" s="267"/>
      <c r="W47" s="268"/>
      <c r="X47" s="268"/>
      <c r="Y47" s="268"/>
      <c r="Z47" s="268"/>
      <c r="AA47" s="269"/>
      <c r="AB47" s="267"/>
      <c r="AC47" s="268"/>
      <c r="AD47" s="268"/>
      <c r="AE47" s="268"/>
      <c r="AF47" s="268"/>
      <c r="AG47" s="269"/>
      <c r="AH47" s="267"/>
      <c r="AI47" s="268"/>
      <c r="AJ47" s="268"/>
      <c r="AK47" s="268"/>
      <c r="AL47" s="268"/>
      <c r="AM47" s="269"/>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67"/>
      <c r="K48" s="268"/>
      <c r="L48" s="268"/>
      <c r="M48" s="268"/>
      <c r="N48" s="268"/>
      <c r="O48" s="269"/>
      <c r="P48" s="267"/>
      <c r="Q48" s="268"/>
      <c r="R48" s="268"/>
      <c r="S48" s="268"/>
      <c r="T48" s="268"/>
      <c r="U48" s="269"/>
      <c r="V48" s="267"/>
      <c r="W48" s="268"/>
      <c r="X48" s="268"/>
      <c r="Y48" s="268"/>
      <c r="Z48" s="268"/>
      <c r="AA48" s="269"/>
      <c r="AB48" s="267"/>
      <c r="AC48" s="268"/>
      <c r="AD48" s="268"/>
      <c r="AE48" s="268"/>
      <c r="AF48" s="268"/>
      <c r="AG48" s="269"/>
      <c r="AH48" s="267"/>
      <c r="AI48" s="268"/>
      <c r="AJ48" s="268"/>
      <c r="AK48" s="268"/>
      <c r="AL48" s="268"/>
      <c r="AM48" s="269"/>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67"/>
      <c r="K49" s="268"/>
      <c r="L49" s="268"/>
      <c r="M49" s="268"/>
      <c r="N49" s="268"/>
      <c r="O49" s="269"/>
      <c r="P49" s="267"/>
      <c r="Q49" s="268"/>
      <c r="R49" s="268"/>
      <c r="S49" s="268"/>
      <c r="T49" s="268"/>
      <c r="U49" s="269"/>
      <c r="V49" s="267"/>
      <c r="W49" s="268"/>
      <c r="X49" s="268"/>
      <c r="Y49" s="268"/>
      <c r="Z49" s="268"/>
      <c r="AA49" s="269"/>
      <c r="AB49" s="267"/>
      <c r="AC49" s="268"/>
      <c r="AD49" s="268"/>
      <c r="AE49" s="268"/>
      <c r="AF49" s="268"/>
      <c r="AG49" s="269"/>
      <c r="AH49" s="267"/>
      <c r="AI49" s="268"/>
      <c r="AJ49" s="268"/>
      <c r="AK49" s="268"/>
      <c r="AL49" s="268"/>
      <c r="AM49" s="269"/>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67"/>
      <c r="K50" s="268"/>
      <c r="L50" s="268"/>
      <c r="M50" s="268"/>
      <c r="N50" s="268"/>
      <c r="O50" s="269"/>
      <c r="P50" s="267"/>
      <c r="Q50" s="268"/>
      <c r="R50" s="268"/>
      <c r="S50" s="268"/>
      <c r="T50" s="268"/>
      <c r="U50" s="269"/>
      <c r="V50" s="267"/>
      <c r="W50" s="268"/>
      <c r="X50" s="268"/>
      <c r="Y50" s="268"/>
      <c r="Z50" s="268"/>
      <c r="AA50" s="269"/>
      <c r="AB50" s="267"/>
      <c r="AC50" s="268"/>
      <c r="AD50" s="268"/>
      <c r="AE50" s="268"/>
      <c r="AF50" s="268"/>
      <c r="AG50" s="269"/>
      <c r="AH50" s="267"/>
      <c r="AI50" s="268"/>
      <c r="AJ50" s="268"/>
      <c r="AK50" s="268"/>
      <c r="AL50" s="268"/>
      <c r="AM50" s="269"/>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70"/>
      <c r="K51" s="271"/>
      <c r="L51" s="271"/>
      <c r="M51" s="271"/>
      <c r="N51" s="271"/>
      <c r="O51" s="272"/>
      <c r="P51" s="270"/>
      <c r="Q51" s="271"/>
      <c r="R51" s="271"/>
      <c r="S51" s="271"/>
      <c r="T51" s="271"/>
      <c r="U51" s="272"/>
      <c r="V51" s="270"/>
      <c r="W51" s="271"/>
      <c r="X51" s="271"/>
      <c r="Y51" s="271"/>
      <c r="Z51" s="271"/>
      <c r="AA51" s="272"/>
      <c r="AB51" s="270"/>
      <c r="AC51" s="271"/>
      <c r="AD51" s="271"/>
      <c r="AE51" s="271"/>
      <c r="AF51" s="271"/>
      <c r="AG51" s="272"/>
      <c r="AH51" s="270"/>
      <c r="AI51" s="271"/>
      <c r="AJ51" s="271"/>
      <c r="AK51" s="271"/>
      <c r="AL51" s="271"/>
      <c r="AM51" s="272"/>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ColWidth="11.42578125"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41" t="s">
        <v>194</v>
      </c>
      <c r="C2" s="342"/>
      <c r="D2" s="342"/>
      <c r="E2" s="342"/>
      <c r="F2" s="342"/>
      <c r="G2" s="342"/>
      <c r="H2" s="342"/>
      <c r="I2" s="342"/>
      <c r="J2" s="263" t="s">
        <v>15</v>
      </c>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42"/>
      <c r="C3" s="342"/>
      <c r="D3" s="342"/>
      <c r="E3" s="342"/>
      <c r="F3" s="342"/>
      <c r="G3" s="342"/>
      <c r="H3" s="342"/>
      <c r="I3" s="342"/>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42"/>
      <c r="C4" s="342"/>
      <c r="D4" s="342"/>
      <c r="E4" s="342"/>
      <c r="F4" s="342"/>
      <c r="G4" s="342"/>
      <c r="H4" s="342"/>
      <c r="I4" s="342"/>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74" t="s">
        <v>179</v>
      </c>
      <c r="C6" s="274"/>
      <c r="D6" s="275"/>
      <c r="E6" s="312" t="s">
        <v>180</v>
      </c>
      <c r="F6" s="313"/>
      <c r="G6" s="313"/>
      <c r="H6" s="313"/>
      <c r="I6" s="314"/>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32" t="s">
        <v>181</v>
      </c>
      <c r="AP6" s="333"/>
      <c r="AQ6" s="333"/>
      <c r="AR6" s="333"/>
      <c r="AS6" s="333"/>
      <c r="AT6" s="334"/>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74"/>
      <c r="C7" s="274"/>
      <c r="D7" s="275"/>
      <c r="E7" s="315"/>
      <c r="F7" s="316"/>
      <c r="G7" s="316"/>
      <c r="H7" s="316"/>
      <c r="I7" s="317"/>
      <c r="J7" s="44" t="str">
        <f>IF(AND('Mapa final'!$AD$12="Muy Alta",'Mapa final'!$AF$12="Leve"),CONCATENATE("R2C",'Mapa final'!$S$12),"")</f>
        <v/>
      </c>
      <c r="K7" s="45" t="str">
        <f>IF(AND('Mapa final'!$AD$13="Muy Alta",'Mapa final'!$AF$13="Leve"),CONCATENATE("R2C",'Mapa final'!$S$13),"")</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final'!$AD$12="Muy Alta",'Mapa final'!$AF$12="Menor"),CONCATENATE("R2C",'Mapa final'!$S$12),"")</f>
        <v/>
      </c>
      <c r="Q7" s="45" t="str">
        <f>IF(AND('Mapa final'!$AD$13="Muy Alta",'Mapa final'!$AF$13="Menor"),CONCATENATE("R2C",'Mapa final'!$S$13),"")</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final'!$AD$12="Muy Alta",'Mapa final'!$AF$12="Moderado"),CONCATENATE("R2C",'Mapa final'!$S$12),"")</f>
        <v/>
      </c>
      <c r="W7" s="45" t="str">
        <f>IF(AND('Mapa final'!$AD$13="Muy Alta",'Mapa final'!$AF$13="Moderado"),CONCATENATE("R2C",'Mapa final'!$S$13),"")</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final'!$AD$12="Muy Alta",'Mapa final'!$AF$12="Mayor"),CONCATENATE("R2C",'Mapa final'!$S$12),"")</f>
        <v/>
      </c>
      <c r="AC7" s="45" t="str">
        <f>IF(AND('Mapa final'!$AD$13="Muy Alta",'Mapa final'!$AF$13="Mayor"),CONCATENATE("R2C",'Mapa final'!$S$13),"")</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final'!$AD$12="Muy Alta",'Mapa final'!$AF$12="Catastrófico"),CONCATENATE("R2C",'Mapa final'!$S$12),"")</f>
        <v/>
      </c>
      <c r="AI7" s="48" t="str">
        <f>IF(AND('Mapa final'!$AD$13="Muy Alta",'Mapa final'!$AF$13="Catastrófico"),CONCATENATE("R2C",'Mapa final'!$S$13),"")</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35"/>
      <c r="AP7" s="336"/>
      <c r="AQ7" s="336"/>
      <c r="AR7" s="336"/>
      <c r="AS7" s="336"/>
      <c r="AT7" s="337"/>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74"/>
      <c r="C8" s="274"/>
      <c r="D8" s="275"/>
      <c r="E8" s="315"/>
      <c r="F8" s="316"/>
      <c r="G8" s="316"/>
      <c r="H8" s="316"/>
      <c r="I8" s="317"/>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35"/>
      <c r="AP8" s="336"/>
      <c r="AQ8" s="336"/>
      <c r="AR8" s="336"/>
      <c r="AS8" s="336"/>
      <c r="AT8" s="337"/>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74"/>
      <c r="C9" s="274"/>
      <c r="D9" s="275"/>
      <c r="E9" s="315"/>
      <c r="F9" s="316"/>
      <c r="G9" s="316"/>
      <c r="H9" s="316"/>
      <c r="I9" s="317"/>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35"/>
      <c r="AP9" s="336"/>
      <c r="AQ9" s="336"/>
      <c r="AR9" s="336"/>
      <c r="AS9" s="336"/>
      <c r="AT9" s="337"/>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74"/>
      <c r="C10" s="274"/>
      <c r="D10" s="275"/>
      <c r="E10" s="315"/>
      <c r="F10" s="316"/>
      <c r="G10" s="316"/>
      <c r="H10" s="316"/>
      <c r="I10" s="317"/>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35"/>
      <c r="AP10" s="336"/>
      <c r="AQ10" s="336"/>
      <c r="AR10" s="336"/>
      <c r="AS10" s="336"/>
      <c r="AT10" s="337"/>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74"/>
      <c r="C11" s="274"/>
      <c r="D11" s="275"/>
      <c r="E11" s="315"/>
      <c r="F11" s="316"/>
      <c r="G11" s="316"/>
      <c r="H11" s="316"/>
      <c r="I11" s="317"/>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35"/>
      <c r="AP11" s="336"/>
      <c r="AQ11" s="336"/>
      <c r="AR11" s="336"/>
      <c r="AS11" s="336"/>
      <c r="AT11" s="337"/>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74"/>
      <c r="C12" s="274"/>
      <c r="D12" s="275"/>
      <c r="E12" s="315"/>
      <c r="F12" s="316"/>
      <c r="G12" s="316"/>
      <c r="H12" s="316"/>
      <c r="I12" s="317"/>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35"/>
      <c r="AP12" s="336"/>
      <c r="AQ12" s="336"/>
      <c r="AR12" s="336"/>
      <c r="AS12" s="336"/>
      <c r="AT12" s="337"/>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74"/>
      <c r="C13" s="274"/>
      <c r="D13" s="275"/>
      <c r="E13" s="315"/>
      <c r="F13" s="316"/>
      <c r="G13" s="316"/>
      <c r="H13" s="316"/>
      <c r="I13" s="317"/>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35"/>
      <c r="AP13" s="336"/>
      <c r="AQ13" s="336"/>
      <c r="AR13" s="336"/>
      <c r="AS13" s="336"/>
      <c r="AT13" s="337"/>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74"/>
      <c r="C14" s="274"/>
      <c r="D14" s="275"/>
      <c r="E14" s="315"/>
      <c r="F14" s="316"/>
      <c r="G14" s="316"/>
      <c r="H14" s="316"/>
      <c r="I14" s="317"/>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35"/>
      <c r="AP14" s="336"/>
      <c r="AQ14" s="336"/>
      <c r="AR14" s="336"/>
      <c r="AS14" s="336"/>
      <c r="AT14" s="337"/>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74"/>
      <c r="C15" s="274"/>
      <c r="D15" s="275"/>
      <c r="E15" s="318"/>
      <c r="F15" s="319"/>
      <c r="G15" s="319"/>
      <c r="H15" s="319"/>
      <c r="I15" s="320"/>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38"/>
      <c r="AP15" s="339"/>
      <c r="AQ15" s="339"/>
      <c r="AR15" s="339"/>
      <c r="AS15" s="339"/>
      <c r="AT15" s="340"/>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74"/>
      <c r="C16" s="274"/>
      <c r="D16" s="275"/>
      <c r="E16" s="312" t="s">
        <v>182</v>
      </c>
      <c r="F16" s="313"/>
      <c r="G16" s="313"/>
      <c r="H16" s="313"/>
      <c r="I16" s="313"/>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22" t="s">
        <v>183</v>
      </c>
      <c r="AP16" s="323"/>
      <c r="AQ16" s="323"/>
      <c r="AR16" s="323"/>
      <c r="AS16" s="323"/>
      <c r="AT16" s="324"/>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74"/>
      <c r="C17" s="274"/>
      <c r="D17" s="275"/>
      <c r="E17" s="331"/>
      <c r="F17" s="316"/>
      <c r="G17" s="316"/>
      <c r="H17" s="316"/>
      <c r="I17" s="316"/>
      <c r="J17" s="59" t="str">
        <f>IF(AND('Mapa final'!$AD$12="Alta",'Mapa final'!$AF$12="Leve"),CONCATENATE("R2C",'Mapa final'!$S$12),"")</f>
        <v/>
      </c>
      <c r="K17" s="60" t="str">
        <f>IF(AND('Mapa final'!$AD$13="Alta",'Mapa final'!$AF$13="Leve"),CONCATENATE("R2C",'Mapa final'!$S$13),"")</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final'!$AD$12="Alta",'Mapa final'!$AF$12="Menor"),CONCATENATE("R2C",'Mapa final'!$S$12),"")</f>
        <v/>
      </c>
      <c r="Q17" s="60" t="str">
        <f>IF(AND('Mapa final'!$AD$13="Alta",'Mapa final'!$AF$13="Menor"),CONCATENATE("R2C",'Mapa final'!$S$13),"")</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final'!$AD$12="Alta",'Mapa final'!$AF$12="Moderado"),CONCATENATE("R2C",'Mapa final'!$S$12),"")</f>
        <v/>
      </c>
      <c r="W17" s="45" t="str">
        <f>IF(AND('Mapa final'!$AD$13="Alta",'Mapa final'!$AF$13="Moderado"),CONCATENATE("R2C",'Mapa final'!$S$13),"")</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final'!$AD$12="Alta",'Mapa final'!$AF$12="Mayor"),CONCATENATE("R2C",'Mapa final'!$S$12),"")</f>
        <v/>
      </c>
      <c r="AC17" s="45" t="str">
        <f>IF(AND('Mapa final'!$AD$13="Alta",'Mapa final'!$AF$13="Mayor"),CONCATENATE("R2C",'Mapa final'!$S$13),"")</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final'!$AD$12="Alta",'Mapa final'!$AF$12="Catastrófico"),CONCATENATE("R2C",'Mapa final'!$S$12),"")</f>
        <v/>
      </c>
      <c r="AI17" s="48" t="str">
        <f>IF(AND('Mapa final'!$AD$13="Alta",'Mapa final'!$AF$13="Catastrófico"),CONCATENATE("R2C",'Mapa final'!$S$13),"")</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25"/>
      <c r="AP17" s="326"/>
      <c r="AQ17" s="326"/>
      <c r="AR17" s="326"/>
      <c r="AS17" s="326"/>
      <c r="AT17" s="327"/>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74"/>
      <c r="C18" s="274"/>
      <c r="D18" s="275"/>
      <c r="E18" s="315"/>
      <c r="F18" s="316"/>
      <c r="G18" s="316"/>
      <c r="H18" s="316"/>
      <c r="I18" s="316"/>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25"/>
      <c r="AP18" s="326"/>
      <c r="AQ18" s="326"/>
      <c r="AR18" s="326"/>
      <c r="AS18" s="326"/>
      <c r="AT18" s="327"/>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74"/>
      <c r="C19" s="274"/>
      <c r="D19" s="275"/>
      <c r="E19" s="315"/>
      <c r="F19" s="316"/>
      <c r="G19" s="316"/>
      <c r="H19" s="316"/>
      <c r="I19" s="316"/>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25"/>
      <c r="AP19" s="326"/>
      <c r="AQ19" s="326"/>
      <c r="AR19" s="326"/>
      <c r="AS19" s="326"/>
      <c r="AT19" s="327"/>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74"/>
      <c r="C20" s="274"/>
      <c r="D20" s="275"/>
      <c r="E20" s="315"/>
      <c r="F20" s="316"/>
      <c r="G20" s="316"/>
      <c r="H20" s="316"/>
      <c r="I20" s="316"/>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25"/>
      <c r="AP20" s="326"/>
      <c r="AQ20" s="326"/>
      <c r="AR20" s="326"/>
      <c r="AS20" s="326"/>
      <c r="AT20" s="327"/>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74"/>
      <c r="C21" s="274"/>
      <c r="D21" s="275"/>
      <c r="E21" s="315"/>
      <c r="F21" s="316"/>
      <c r="G21" s="316"/>
      <c r="H21" s="316"/>
      <c r="I21" s="316"/>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25"/>
      <c r="AP21" s="326"/>
      <c r="AQ21" s="326"/>
      <c r="AR21" s="326"/>
      <c r="AS21" s="326"/>
      <c r="AT21" s="327"/>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74"/>
      <c r="C22" s="274"/>
      <c r="D22" s="275"/>
      <c r="E22" s="315"/>
      <c r="F22" s="316"/>
      <c r="G22" s="316"/>
      <c r="H22" s="316"/>
      <c r="I22" s="316"/>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25"/>
      <c r="AP22" s="326"/>
      <c r="AQ22" s="326"/>
      <c r="AR22" s="326"/>
      <c r="AS22" s="326"/>
      <c r="AT22" s="327"/>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74"/>
      <c r="C23" s="274"/>
      <c r="D23" s="275"/>
      <c r="E23" s="315"/>
      <c r="F23" s="316"/>
      <c r="G23" s="316"/>
      <c r="H23" s="316"/>
      <c r="I23" s="316"/>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25"/>
      <c r="AP23" s="326"/>
      <c r="AQ23" s="326"/>
      <c r="AR23" s="326"/>
      <c r="AS23" s="326"/>
      <c r="AT23" s="327"/>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74"/>
      <c r="C24" s="274"/>
      <c r="D24" s="275"/>
      <c r="E24" s="315"/>
      <c r="F24" s="316"/>
      <c r="G24" s="316"/>
      <c r="H24" s="316"/>
      <c r="I24" s="316"/>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25"/>
      <c r="AP24" s="326"/>
      <c r="AQ24" s="326"/>
      <c r="AR24" s="326"/>
      <c r="AS24" s="326"/>
      <c r="AT24" s="327"/>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74"/>
      <c r="C25" s="274"/>
      <c r="D25" s="275"/>
      <c r="E25" s="318"/>
      <c r="F25" s="319"/>
      <c r="G25" s="319"/>
      <c r="H25" s="319"/>
      <c r="I25" s="319"/>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28"/>
      <c r="AP25" s="329"/>
      <c r="AQ25" s="329"/>
      <c r="AR25" s="329"/>
      <c r="AS25" s="329"/>
      <c r="AT25" s="330"/>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74"/>
      <c r="C26" s="274"/>
      <c r="D26" s="275"/>
      <c r="E26" s="312" t="s">
        <v>184</v>
      </c>
      <c r="F26" s="313"/>
      <c r="G26" s="313"/>
      <c r="H26" s="313"/>
      <c r="I26" s="314"/>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52" t="s">
        <v>185</v>
      </c>
      <c r="AP26" s="353"/>
      <c r="AQ26" s="353"/>
      <c r="AR26" s="353"/>
      <c r="AS26" s="353"/>
      <c r="AT26" s="354"/>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74"/>
      <c r="C27" s="274"/>
      <c r="D27" s="275"/>
      <c r="E27" s="331"/>
      <c r="F27" s="316"/>
      <c r="G27" s="316"/>
      <c r="H27" s="316"/>
      <c r="I27" s="317"/>
      <c r="J27" s="59" t="str">
        <f>IF(AND('Mapa final'!$AD$12="Media",'Mapa final'!$AF$12="Leve"),CONCATENATE("R2C",'Mapa final'!$S$12),"")</f>
        <v/>
      </c>
      <c r="K27" s="60" t="str">
        <f>IF(AND('Mapa final'!$AD$13="Media",'Mapa final'!$AF$13="Leve"),CONCATENATE("R2C",'Mapa final'!$S$13),"")</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final'!$AD$12="Media",'Mapa final'!$AF$12="Menor"),CONCATENATE("R2C",'Mapa final'!$S$12),"")</f>
        <v/>
      </c>
      <c r="Q27" s="60" t="str">
        <f>IF(AND('Mapa final'!$AD$13="Media",'Mapa final'!$AF$13="Menor"),CONCATENATE("R2C",'Mapa final'!$S$13),"")</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final'!$AD$12="Media",'Mapa final'!$AF$12="Moderado"),CONCATENATE("R2C",'Mapa final'!$S$12),"")</f>
        <v/>
      </c>
      <c r="W27" s="60" t="str">
        <f>IF(AND('Mapa final'!$AD$13="Media",'Mapa final'!$AF$13="Moderado"),CONCATENATE("R2C",'Mapa final'!$S$13),"")</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final'!$AD$12="Media",'Mapa final'!$AF$12="Mayor"),CONCATENATE("R2C",'Mapa final'!$S$12),"")</f>
        <v/>
      </c>
      <c r="AC27" s="45" t="str">
        <f>IF(AND('Mapa final'!$AD$13="Media",'Mapa final'!$AF$13="Mayor"),CONCATENATE("R2C",'Mapa final'!$S$13),"")</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final'!$AD$12="Media",'Mapa final'!$AF$12="Catastrófico"),CONCATENATE("R2C",'Mapa final'!$S$12),"")</f>
        <v/>
      </c>
      <c r="AI27" s="48" t="str">
        <f>IF(AND('Mapa final'!$AD$13="Media",'Mapa final'!$AF$13="Catastrófico"),CONCATENATE("R2C",'Mapa final'!$S$13),"")</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55"/>
      <c r="AP27" s="356"/>
      <c r="AQ27" s="356"/>
      <c r="AR27" s="356"/>
      <c r="AS27" s="356"/>
      <c r="AT27" s="357"/>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74"/>
      <c r="C28" s="274"/>
      <c r="D28" s="275"/>
      <c r="E28" s="315"/>
      <c r="F28" s="316"/>
      <c r="G28" s="316"/>
      <c r="H28" s="316"/>
      <c r="I28" s="317"/>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55"/>
      <c r="AP28" s="356"/>
      <c r="AQ28" s="356"/>
      <c r="AR28" s="356"/>
      <c r="AS28" s="356"/>
      <c r="AT28" s="357"/>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74"/>
      <c r="C29" s="274"/>
      <c r="D29" s="275"/>
      <c r="E29" s="315"/>
      <c r="F29" s="316"/>
      <c r="G29" s="316"/>
      <c r="H29" s="316"/>
      <c r="I29" s="317"/>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55"/>
      <c r="AP29" s="356"/>
      <c r="AQ29" s="356"/>
      <c r="AR29" s="356"/>
      <c r="AS29" s="356"/>
      <c r="AT29" s="357"/>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74"/>
      <c r="C30" s="274"/>
      <c r="D30" s="275"/>
      <c r="E30" s="315"/>
      <c r="F30" s="316"/>
      <c r="G30" s="316"/>
      <c r="H30" s="316"/>
      <c r="I30" s="317"/>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55"/>
      <c r="AP30" s="356"/>
      <c r="AQ30" s="356"/>
      <c r="AR30" s="356"/>
      <c r="AS30" s="356"/>
      <c r="AT30" s="357"/>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74"/>
      <c r="C31" s="274"/>
      <c r="D31" s="275"/>
      <c r="E31" s="315"/>
      <c r="F31" s="316"/>
      <c r="G31" s="316"/>
      <c r="H31" s="316"/>
      <c r="I31" s="317"/>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55"/>
      <c r="AP31" s="356"/>
      <c r="AQ31" s="356"/>
      <c r="AR31" s="356"/>
      <c r="AS31" s="356"/>
      <c r="AT31" s="357"/>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74"/>
      <c r="C32" s="274"/>
      <c r="D32" s="275"/>
      <c r="E32" s="315"/>
      <c r="F32" s="316"/>
      <c r="G32" s="316"/>
      <c r="H32" s="316"/>
      <c r="I32" s="317"/>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55"/>
      <c r="AP32" s="356"/>
      <c r="AQ32" s="356"/>
      <c r="AR32" s="356"/>
      <c r="AS32" s="356"/>
      <c r="AT32" s="357"/>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74"/>
      <c r="C33" s="274"/>
      <c r="D33" s="275"/>
      <c r="E33" s="315"/>
      <c r="F33" s="316"/>
      <c r="G33" s="316"/>
      <c r="H33" s="316"/>
      <c r="I33" s="317"/>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55"/>
      <c r="AP33" s="356"/>
      <c r="AQ33" s="356"/>
      <c r="AR33" s="356"/>
      <c r="AS33" s="356"/>
      <c r="AT33" s="357"/>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74"/>
      <c r="C34" s="274"/>
      <c r="D34" s="275"/>
      <c r="E34" s="315"/>
      <c r="F34" s="316"/>
      <c r="G34" s="316"/>
      <c r="H34" s="316"/>
      <c r="I34" s="317"/>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55"/>
      <c r="AP34" s="356"/>
      <c r="AQ34" s="356"/>
      <c r="AR34" s="356"/>
      <c r="AS34" s="356"/>
      <c r="AT34" s="357"/>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74"/>
      <c r="C35" s="274"/>
      <c r="D35" s="275"/>
      <c r="E35" s="318"/>
      <c r="F35" s="319"/>
      <c r="G35" s="319"/>
      <c r="H35" s="319"/>
      <c r="I35" s="320"/>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58"/>
      <c r="AP35" s="359"/>
      <c r="AQ35" s="359"/>
      <c r="AR35" s="359"/>
      <c r="AS35" s="359"/>
      <c r="AT35" s="360"/>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74"/>
      <c r="C36" s="274"/>
      <c r="D36" s="275"/>
      <c r="E36" s="312" t="s">
        <v>186</v>
      </c>
      <c r="F36" s="313"/>
      <c r="G36" s="313"/>
      <c r="H36" s="313"/>
      <c r="I36" s="313"/>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43" t="s">
        <v>187</v>
      </c>
      <c r="AP36" s="344"/>
      <c r="AQ36" s="344"/>
      <c r="AR36" s="344"/>
      <c r="AS36" s="344"/>
      <c r="AT36" s="34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74"/>
      <c r="C37" s="274"/>
      <c r="D37" s="275"/>
      <c r="E37" s="331"/>
      <c r="F37" s="316"/>
      <c r="G37" s="316"/>
      <c r="H37" s="316"/>
      <c r="I37" s="316"/>
      <c r="J37" s="68" t="str">
        <f>IF(AND('Mapa final'!$AD$12="Baja",'Mapa final'!$AF$12="Leve"),CONCATENATE("R2C",'Mapa final'!$S$12),"")</f>
        <v/>
      </c>
      <c r="K37" s="69" t="str">
        <f>IF(AND('Mapa final'!$AD$13="Baja",'Mapa final'!$AF$13="Leve"),CONCATENATE("R2C",'Mapa final'!$S$13),"")</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final'!$AD$12="Baja",'Mapa final'!$AF$12="Menor"),CONCATENATE("R2C",'Mapa final'!$S$12),"")</f>
        <v/>
      </c>
      <c r="Q37" s="60" t="str">
        <f>IF(AND('Mapa final'!$AD$13="Baja",'Mapa final'!$AF$13="Menor"),CONCATENATE("R2C",'Mapa final'!$S$13),"")</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final'!$AD$12="Baja",'Mapa final'!$AF$12="Moderado"),CONCATENATE("R2C",'Mapa final'!$S$12),"")</f>
        <v>R2C1</v>
      </c>
      <c r="W37" s="60" t="str">
        <f>IF(AND('Mapa final'!$AD$13="Baja",'Mapa final'!$AF$13="Moderado"),CONCATENATE("R2C",'Mapa final'!$S$13),"")</f>
        <v>R2C2</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final'!$AD$12="Baja",'Mapa final'!$AF$12="Mayor"),CONCATENATE("R2C",'Mapa final'!$S$12),"")</f>
        <v/>
      </c>
      <c r="AC37" s="45" t="str">
        <f>IF(AND('Mapa final'!$AD$13="Baja",'Mapa final'!$AF$13="Mayor"),CONCATENATE("R2C",'Mapa final'!$S$13),"")</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final'!$AD$12="Baja",'Mapa final'!$AF$12="Catastrófico"),CONCATENATE("R2C",'Mapa final'!$S$12),"")</f>
        <v/>
      </c>
      <c r="AI37" s="48" t="str">
        <f>IF(AND('Mapa final'!$AD$13="Baja",'Mapa final'!$AF$13="Catastrófico"),CONCATENATE("R2C",'Mapa final'!$S$13),"")</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46"/>
      <c r="AP37" s="347"/>
      <c r="AQ37" s="347"/>
      <c r="AR37" s="347"/>
      <c r="AS37" s="347"/>
      <c r="AT37" s="348"/>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74"/>
      <c r="C38" s="274"/>
      <c r="D38" s="275"/>
      <c r="E38" s="315"/>
      <c r="F38" s="316"/>
      <c r="G38" s="316"/>
      <c r="H38" s="316"/>
      <c r="I38" s="316"/>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46"/>
      <c r="AP38" s="347"/>
      <c r="AQ38" s="347"/>
      <c r="AR38" s="347"/>
      <c r="AS38" s="347"/>
      <c r="AT38" s="348"/>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74"/>
      <c r="C39" s="274"/>
      <c r="D39" s="275"/>
      <c r="E39" s="315"/>
      <c r="F39" s="316"/>
      <c r="G39" s="316"/>
      <c r="H39" s="316"/>
      <c r="I39" s="316"/>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46"/>
      <c r="AP39" s="347"/>
      <c r="AQ39" s="347"/>
      <c r="AR39" s="347"/>
      <c r="AS39" s="347"/>
      <c r="AT39" s="348"/>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74"/>
      <c r="C40" s="274"/>
      <c r="D40" s="275"/>
      <c r="E40" s="315"/>
      <c r="F40" s="316"/>
      <c r="G40" s="316"/>
      <c r="H40" s="316"/>
      <c r="I40" s="316"/>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46"/>
      <c r="AP40" s="347"/>
      <c r="AQ40" s="347"/>
      <c r="AR40" s="347"/>
      <c r="AS40" s="347"/>
      <c r="AT40" s="348"/>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74"/>
      <c r="C41" s="274"/>
      <c r="D41" s="275"/>
      <c r="E41" s="315"/>
      <c r="F41" s="316"/>
      <c r="G41" s="316"/>
      <c r="H41" s="316"/>
      <c r="I41" s="316"/>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46"/>
      <c r="AP41" s="347"/>
      <c r="AQ41" s="347"/>
      <c r="AR41" s="347"/>
      <c r="AS41" s="347"/>
      <c r="AT41" s="348"/>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74"/>
      <c r="C42" s="274"/>
      <c r="D42" s="275"/>
      <c r="E42" s="315"/>
      <c r="F42" s="316"/>
      <c r="G42" s="316"/>
      <c r="H42" s="316"/>
      <c r="I42" s="316"/>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46"/>
      <c r="AP42" s="347"/>
      <c r="AQ42" s="347"/>
      <c r="AR42" s="347"/>
      <c r="AS42" s="347"/>
      <c r="AT42" s="348"/>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74"/>
      <c r="C43" s="274"/>
      <c r="D43" s="275"/>
      <c r="E43" s="315"/>
      <c r="F43" s="316"/>
      <c r="G43" s="316"/>
      <c r="H43" s="316"/>
      <c r="I43" s="316"/>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46"/>
      <c r="AP43" s="347"/>
      <c r="AQ43" s="347"/>
      <c r="AR43" s="347"/>
      <c r="AS43" s="347"/>
      <c r="AT43" s="348"/>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74"/>
      <c r="C44" s="274"/>
      <c r="D44" s="275"/>
      <c r="E44" s="315"/>
      <c r="F44" s="316"/>
      <c r="G44" s="316"/>
      <c r="H44" s="316"/>
      <c r="I44" s="316"/>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46"/>
      <c r="AP44" s="347"/>
      <c r="AQ44" s="347"/>
      <c r="AR44" s="347"/>
      <c r="AS44" s="347"/>
      <c r="AT44" s="348"/>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74"/>
      <c r="C45" s="274"/>
      <c r="D45" s="275"/>
      <c r="E45" s="318"/>
      <c r="F45" s="319"/>
      <c r="G45" s="319"/>
      <c r="H45" s="319"/>
      <c r="I45" s="319"/>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49"/>
      <c r="AP45" s="350"/>
      <c r="AQ45" s="350"/>
      <c r="AR45" s="350"/>
      <c r="AS45" s="350"/>
      <c r="AT45" s="351"/>
    </row>
    <row r="46" spans="1:80" ht="46.5" customHeight="1" x14ac:dyDescent="0.35">
      <c r="A46" s="75"/>
      <c r="B46" s="274"/>
      <c r="C46" s="274"/>
      <c r="D46" s="275"/>
      <c r="E46" s="312" t="s">
        <v>188</v>
      </c>
      <c r="F46" s="313"/>
      <c r="G46" s="313"/>
      <c r="H46" s="313"/>
      <c r="I46" s="314"/>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74"/>
      <c r="C47" s="274"/>
      <c r="D47" s="275"/>
      <c r="E47" s="331"/>
      <c r="F47" s="316"/>
      <c r="G47" s="316"/>
      <c r="H47" s="316"/>
      <c r="I47" s="317"/>
      <c r="J47" s="68" t="str">
        <f>IF(AND('Mapa final'!$AD$12="Muy Baja",'Mapa final'!$AF$12="Leve"),CONCATENATE("R2C",'Mapa final'!$S$12),"")</f>
        <v/>
      </c>
      <c r="K47" s="69" t="str">
        <f>IF(AND('Mapa final'!$AD$13="Muy Baja",'Mapa final'!$AF$13="Leve"),CONCATENATE("R2C",'Mapa final'!$S$13),"")</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final'!$AD$12="Muy Baja",'Mapa final'!$AF$12="Menor"),CONCATENATE("R2C",'Mapa final'!$S$12),"")</f>
        <v/>
      </c>
      <c r="Q47" s="69" t="str">
        <f>IF(AND('Mapa final'!$AD$13="Muy Baja",'Mapa final'!$AF$13="Menor"),CONCATENATE("R2C",'Mapa final'!$S$13),"")</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final'!$AD$12="Muy Baja",'Mapa final'!$AF$12="Moderado"),CONCATENATE("R2C",'Mapa final'!$S$12),"")</f>
        <v/>
      </c>
      <c r="W47" s="60" t="str">
        <f>IF(AND('Mapa final'!$AD$13="Muy Baja",'Mapa final'!$AF$13="Moderado"),CONCATENATE("R2C",'Mapa final'!$S$13),"")</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final'!$AD$12="Muy Baja",'Mapa final'!$AF$12="Mayor"),CONCATENATE("R2C",'Mapa final'!$S$12),"")</f>
        <v/>
      </c>
      <c r="AC47" s="45" t="str">
        <f>IF(AND('Mapa final'!$AD$13="Muy Baja",'Mapa final'!$AF$13="Mayor"),CONCATENATE("R2C",'Mapa final'!$S$13),"")</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final'!$AD$12="Muy Baja",'Mapa final'!$AF$12="Catastrófico"),CONCATENATE("R2C",'Mapa final'!$S$12),"")</f>
        <v/>
      </c>
      <c r="AI47" s="48" t="str">
        <f>IF(AND('Mapa final'!$AD$13="Muy Baja",'Mapa final'!$AF$13="Catastrófico"),CONCATENATE("R2C",'Mapa final'!$S$13),"")</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74"/>
      <c r="C48" s="274"/>
      <c r="D48" s="275"/>
      <c r="E48" s="331"/>
      <c r="F48" s="316"/>
      <c r="G48" s="316"/>
      <c r="H48" s="316"/>
      <c r="I48" s="317"/>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74"/>
      <c r="C49" s="274"/>
      <c r="D49" s="275"/>
      <c r="E49" s="315"/>
      <c r="F49" s="316"/>
      <c r="G49" s="316"/>
      <c r="H49" s="316"/>
      <c r="I49" s="317"/>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74"/>
      <c r="C50" s="274"/>
      <c r="D50" s="275"/>
      <c r="E50" s="315"/>
      <c r="F50" s="316"/>
      <c r="G50" s="316"/>
      <c r="H50" s="316"/>
      <c r="I50" s="317"/>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74"/>
      <c r="C51" s="274"/>
      <c r="D51" s="275"/>
      <c r="E51" s="315"/>
      <c r="F51" s="316"/>
      <c r="G51" s="316"/>
      <c r="H51" s="316"/>
      <c r="I51" s="317"/>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74"/>
      <c r="C52" s="274"/>
      <c r="D52" s="275"/>
      <c r="E52" s="315"/>
      <c r="F52" s="316"/>
      <c r="G52" s="316"/>
      <c r="H52" s="316"/>
      <c r="I52" s="317"/>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74"/>
      <c r="C53" s="274"/>
      <c r="D53" s="275"/>
      <c r="E53" s="315"/>
      <c r="F53" s="316"/>
      <c r="G53" s="316"/>
      <c r="H53" s="316"/>
      <c r="I53" s="317"/>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74"/>
      <c r="C54" s="274"/>
      <c r="D54" s="275"/>
      <c r="E54" s="315"/>
      <c r="F54" s="316"/>
      <c r="G54" s="316"/>
      <c r="H54" s="316"/>
      <c r="I54" s="317"/>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74"/>
      <c r="C55" s="274"/>
      <c r="D55" s="275"/>
      <c r="E55" s="318"/>
      <c r="F55" s="319"/>
      <c r="G55" s="319"/>
      <c r="H55" s="319"/>
      <c r="I55" s="320"/>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12" t="s">
        <v>189</v>
      </c>
      <c r="K56" s="313"/>
      <c r="L56" s="313"/>
      <c r="M56" s="313"/>
      <c r="N56" s="313"/>
      <c r="O56" s="314"/>
      <c r="P56" s="312" t="s">
        <v>190</v>
      </c>
      <c r="Q56" s="313"/>
      <c r="R56" s="313"/>
      <c r="S56" s="313"/>
      <c r="T56" s="313"/>
      <c r="U56" s="314"/>
      <c r="V56" s="312" t="s">
        <v>191</v>
      </c>
      <c r="W56" s="313"/>
      <c r="X56" s="313"/>
      <c r="Y56" s="313"/>
      <c r="Z56" s="313"/>
      <c r="AA56" s="314"/>
      <c r="AB56" s="312" t="s">
        <v>192</v>
      </c>
      <c r="AC56" s="321"/>
      <c r="AD56" s="313"/>
      <c r="AE56" s="313"/>
      <c r="AF56" s="313"/>
      <c r="AG56" s="314"/>
      <c r="AH56" s="312" t="s">
        <v>193</v>
      </c>
      <c r="AI56" s="313"/>
      <c r="AJ56" s="313"/>
      <c r="AK56" s="313"/>
      <c r="AL56" s="313"/>
      <c r="AM56" s="314"/>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15"/>
      <c r="K57" s="316"/>
      <c r="L57" s="316"/>
      <c r="M57" s="316"/>
      <c r="N57" s="316"/>
      <c r="O57" s="317"/>
      <c r="P57" s="315"/>
      <c r="Q57" s="316"/>
      <c r="R57" s="316"/>
      <c r="S57" s="316"/>
      <c r="T57" s="316"/>
      <c r="U57" s="317"/>
      <c r="V57" s="315"/>
      <c r="W57" s="316"/>
      <c r="X57" s="316"/>
      <c r="Y57" s="316"/>
      <c r="Z57" s="316"/>
      <c r="AA57" s="317"/>
      <c r="AB57" s="315"/>
      <c r="AC57" s="316"/>
      <c r="AD57" s="316"/>
      <c r="AE57" s="316"/>
      <c r="AF57" s="316"/>
      <c r="AG57" s="317"/>
      <c r="AH57" s="315"/>
      <c r="AI57" s="316"/>
      <c r="AJ57" s="316"/>
      <c r="AK57" s="316"/>
      <c r="AL57" s="316"/>
      <c r="AM57" s="317"/>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15"/>
      <c r="K58" s="316"/>
      <c r="L58" s="316"/>
      <c r="M58" s="316"/>
      <c r="N58" s="316"/>
      <c r="O58" s="317"/>
      <c r="P58" s="315"/>
      <c r="Q58" s="316"/>
      <c r="R58" s="316"/>
      <c r="S58" s="316"/>
      <c r="T58" s="316"/>
      <c r="U58" s="317"/>
      <c r="V58" s="315"/>
      <c r="W58" s="316"/>
      <c r="X58" s="316"/>
      <c r="Y58" s="316"/>
      <c r="Z58" s="316"/>
      <c r="AA58" s="317"/>
      <c r="AB58" s="315"/>
      <c r="AC58" s="316"/>
      <c r="AD58" s="316"/>
      <c r="AE58" s="316"/>
      <c r="AF58" s="316"/>
      <c r="AG58" s="317"/>
      <c r="AH58" s="315"/>
      <c r="AI58" s="316"/>
      <c r="AJ58" s="316"/>
      <c r="AK58" s="316"/>
      <c r="AL58" s="316"/>
      <c r="AM58" s="317"/>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15"/>
      <c r="K59" s="316"/>
      <c r="L59" s="316"/>
      <c r="M59" s="316"/>
      <c r="N59" s="316"/>
      <c r="O59" s="317"/>
      <c r="P59" s="315"/>
      <c r="Q59" s="316"/>
      <c r="R59" s="316"/>
      <c r="S59" s="316"/>
      <c r="T59" s="316"/>
      <c r="U59" s="317"/>
      <c r="V59" s="315"/>
      <c r="W59" s="316"/>
      <c r="X59" s="316"/>
      <c r="Y59" s="316"/>
      <c r="Z59" s="316"/>
      <c r="AA59" s="317"/>
      <c r="AB59" s="315"/>
      <c r="AC59" s="316"/>
      <c r="AD59" s="316"/>
      <c r="AE59" s="316"/>
      <c r="AF59" s="316"/>
      <c r="AG59" s="317"/>
      <c r="AH59" s="315"/>
      <c r="AI59" s="316"/>
      <c r="AJ59" s="316"/>
      <c r="AK59" s="316"/>
      <c r="AL59" s="316"/>
      <c r="AM59" s="317"/>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15"/>
      <c r="K60" s="316"/>
      <c r="L60" s="316"/>
      <c r="M60" s="316"/>
      <c r="N60" s="316"/>
      <c r="O60" s="317"/>
      <c r="P60" s="315"/>
      <c r="Q60" s="316"/>
      <c r="R60" s="316"/>
      <c r="S60" s="316"/>
      <c r="T60" s="316"/>
      <c r="U60" s="317"/>
      <c r="V60" s="315"/>
      <c r="W60" s="316"/>
      <c r="X60" s="316"/>
      <c r="Y60" s="316"/>
      <c r="Z60" s="316"/>
      <c r="AA60" s="317"/>
      <c r="AB60" s="315"/>
      <c r="AC60" s="316"/>
      <c r="AD60" s="316"/>
      <c r="AE60" s="316"/>
      <c r="AF60" s="316"/>
      <c r="AG60" s="317"/>
      <c r="AH60" s="315"/>
      <c r="AI60" s="316"/>
      <c r="AJ60" s="316"/>
      <c r="AK60" s="316"/>
      <c r="AL60" s="316"/>
      <c r="AM60" s="317"/>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18"/>
      <c r="K61" s="319"/>
      <c r="L61" s="319"/>
      <c r="M61" s="319"/>
      <c r="N61" s="319"/>
      <c r="O61" s="320"/>
      <c r="P61" s="318"/>
      <c r="Q61" s="319"/>
      <c r="R61" s="319"/>
      <c r="S61" s="319"/>
      <c r="T61" s="319"/>
      <c r="U61" s="320"/>
      <c r="V61" s="318"/>
      <c r="W61" s="319"/>
      <c r="X61" s="319"/>
      <c r="Y61" s="319"/>
      <c r="Z61" s="319"/>
      <c r="AA61" s="320"/>
      <c r="AB61" s="318"/>
      <c r="AC61" s="319"/>
      <c r="AD61" s="319"/>
      <c r="AE61" s="319"/>
      <c r="AF61" s="319"/>
      <c r="AG61" s="320"/>
      <c r="AH61" s="318"/>
      <c r="AI61" s="319"/>
      <c r="AJ61" s="319"/>
      <c r="AK61" s="319"/>
      <c r="AL61" s="319"/>
      <c r="AM61" s="320"/>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5"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5"/>
      <c r="B1" s="361" t="s">
        <v>195</v>
      </c>
      <c r="C1" s="361"/>
      <c r="D1" s="361"/>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196</v>
      </c>
      <c r="D3" s="9" t="s">
        <v>179</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197</v>
      </c>
      <c r="C4" s="11" t="s">
        <v>198</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199</v>
      </c>
      <c r="C5" s="14" t="s">
        <v>200</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201</v>
      </c>
      <c r="C6" s="14" t="s">
        <v>202</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203</v>
      </c>
      <c r="C7" s="14" t="s">
        <v>204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205</v>
      </c>
      <c r="C8" s="14" t="s">
        <v>206</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62" t="s">
        <v>207</v>
      </c>
      <c r="C1" s="362"/>
      <c r="D1" s="362"/>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60" x14ac:dyDescent="0.25">
      <c r="A3" s="75"/>
      <c r="B3" s="96"/>
      <c r="C3" s="28" t="s">
        <v>208</v>
      </c>
      <c r="D3" s="28" t="s">
        <v>209</v>
      </c>
      <c r="E3" s="75"/>
      <c r="F3" s="75"/>
      <c r="G3" s="75"/>
      <c r="H3" s="75"/>
      <c r="I3" s="75"/>
      <c r="J3" s="75"/>
      <c r="K3" s="75"/>
      <c r="L3" s="75"/>
      <c r="M3" s="75"/>
      <c r="N3" s="75"/>
      <c r="O3" s="75"/>
      <c r="P3" s="75"/>
      <c r="Q3" s="75"/>
      <c r="R3" s="75"/>
      <c r="S3" s="75"/>
      <c r="T3" s="75"/>
      <c r="U3" s="75"/>
    </row>
    <row r="4" spans="1:21" ht="33.75" x14ac:dyDescent="0.25">
      <c r="A4" s="95" t="s">
        <v>210</v>
      </c>
      <c r="B4" s="31" t="s">
        <v>211</v>
      </c>
      <c r="C4" s="36" t="s">
        <v>212</v>
      </c>
      <c r="D4" s="29" t="s">
        <v>213</v>
      </c>
      <c r="E4" s="75"/>
      <c r="F4" s="75"/>
      <c r="G4" s="75"/>
      <c r="H4" s="75"/>
      <c r="I4" s="75"/>
      <c r="J4" s="75"/>
      <c r="K4" s="75"/>
      <c r="L4" s="75"/>
      <c r="M4" s="75"/>
      <c r="N4" s="75"/>
      <c r="O4" s="75"/>
      <c r="P4" s="75"/>
      <c r="Q4" s="75"/>
      <c r="R4" s="75"/>
      <c r="S4" s="75"/>
      <c r="T4" s="75"/>
      <c r="U4" s="75"/>
    </row>
    <row r="5" spans="1:21" ht="101.25" x14ac:dyDescent="0.25">
      <c r="A5" s="95" t="s">
        <v>214</v>
      </c>
      <c r="B5" s="32" t="s">
        <v>215</v>
      </c>
      <c r="C5" s="37" t="s">
        <v>216</v>
      </c>
      <c r="D5" s="30" t="s">
        <v>217</v>
      </c>
      <c r="E5" s="75"/>
      <c r="F5" s="75"/>
      <c r="G5" s="75"/>
      <c r="H5" s="75"/>
      <c r="I5" s="75"/>
      <c r="J5" s="75"/>
      <c r="K5" s="75"/>
      <c r="L5" s="75"/>
      <c r="M5" s="75"/>
      <c r="N5" s="75"/>
      <c r="O5" s="75"/>
      <c r="P5" s="75"/>
      <c r="Q5" s="75"/>
      <c r="R5" s="75"/>
      <c r="S5" s="75"/>
      <c r="T5" s="75"/>
      <c r="U5" s="75"/>
    </row>
    <row r="6" spans="1:21" ht="67.5" x14ac:dyDescent="0.25">
      <c r="A6" s="95" t="s">
        <v>185</v>
      </c>
      <c r="B6" s="33" t="s">
        <v>218</v>
      </c>
      <c r="C6" s="37" t="s">
        <v>219</v>
      </c>
      <c r="D6" s="30" t="s">
        <v>220</v>
      </c>
      <c r="E6" s="75"/>
      <c r="F6" s="75"/>
      <c r="G6" s="75"/>
      <c r="H6" s="75"/>
      <c r="I6" s="75"/>
      <c r="J6" s="75"/>
      <c r="K6" s="75"/>
      <c r="L6" s="75"/>
      <c r="M6" s="75"/>
      <c r="N6" s="75"/>
      <c r="O6" s="75"/>
      <c r="P6" s="75"/>
      <c r="Q6" s="75"/>
      <c r="R6" s="75"/>
      <c r="S6" s="75"/>
      <c r="T6" s="75"/>
      <c r="U6" s="75"/>
    </row>
    <row r="7" spans="1:21" ht="101.25" x14ac:dyDescent="0.25">
      <c r="A7" s="95" t="s">
        <v>221</v>
      </c>
      <c r="B7" s="34" t="s">
        <v>222</v>
      </c>
      <c r="C7" s="37" t="s">
        <v>223</v>
      </c>
      <c r="D7" s="30" t="s">
        <v>224</v>
      </c>
      <c r="E7" s="75"/>
      <c r="F7" s="75"/>
      <c r="G7" s="75"/>
      <c r="H7" s="75"/>
      <c r="I7" s="75"/>
      <c r="J7" s="75"/>
      <c r="K7" s="75"/>
      <c r="L7" s="75"/>
      <c r="M7" s="75"/>
      <c r="N7" s="75"/>
      <c r="O7" s="75"/>
      <c r="P7" s="75"/>
      <c r="Q7" s="75"/>
      <c r="R7" s="75"/>
      <c r="S7" s="75"/>
      <c r="T7" s="75"/>
      <c r="U7" s="75"/>
    </row>
    <row r="8" spans="1:21" ht="67.5" x14ac:dyDescent="0.25">
      <c r="A8" s="95" t="s">
        <v>225</v>
      </c>
      <c r="B8" s="35" t="s">
        <v>226</v>
      </c>
      <c r="C8" s="37" t="s">
        <v>227</v>
      </c>
      <c r="D8" s="30" t="s">
        <v>228</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229</v>
      </c>
      <c r="C11" s="95" t="s">
        <v>230</v>
      </c>
      <c r="D11" s="95" t="s">
        <v>231</v>
      </c>
      <c r="E11" s="75"/>
      <c r="F11" s="75"/>
      <c r="G11" s="75"/>
      <c r="H11" s="75"/>
      <c r="I11" s="75"/>
      <c r="J11" s="75"/>
      <c r="K11" s="75"/>
      <c r="L11" s="75"/>
      <c r="M11" s="75"/>
      <c r="N11" s="75"/>
      <c r="O11" s="75"/>
      <c r="P11" s="75"/>
      <c r="Q11" s="75"/>
      <c r="R11" s="75"/>
      <c r="S11" s="75"/>
      <c r="T11" s="75"/>
      <c r="U11" s="75"/>
    </row>
    <row r="12" spans="1:21" x14ac:dyDescent="0.25">
      <c r="A12" s="95"/>
      <c r="B12" s="95" t="s">
        <v>232</v>
      </c>
      <c r="C12" s="95" t="s">
        <v>233</v>
      </c>
      <c r="D12" s="95" t="s">
        <v>234</v>
      </c>
      <c r="E12" s="75"/>
      <c r="F12" s="75"/>
      <c r="G12" s="75"/>
      <c r="H12" s="75"/>
      <c r="I12" s="75"/>
      <c r="J12" s="75"/>
      <c r="K12" s="75"/>
      <c r="L12" s="75"/>
      <c r="M12" s="75"/>
      <c r="N12" s="75"/>
      <c r="O12" s="75"/>
      <c r="P12" s="75"/>
      <c r="Q12" s="75"/>
      <c r="R12" s="75"/>
      <c r="S12" s="75"/>
      <c r="T12" s="75"/>
      <c r="U12" s="75"/>
    </row>
    <row r="13" spans="1:21" x14ac:dyDescent="0.25">
      <c r="A13" s="95"/>
      <c r="B13" s="95"/>
      <c r="C13" s="95" t="s">
        <v>235</v>
      </c>
      <c r="D13" s="95" t="s">
        <v>115</v>
      </c>
      <c r="E13" s="75"/>
      <c r="F13" s="75"/>
      <c r="G13" s="75"/>
      <c r="H13" s="75"/>
      <c r="I13" s="75"/>
      <c r="J13" s="75"/>
      <c r="K13" s="75"/>
      <c r="L13" s="75"/>
      <c r="M13" s="75"/>
      <c r="N13" s="75"/>
      <c r="O13" s="75"/>
      <c r="P13" s="75"/>
      <c r="Q13" s="75"/>
      <c r="R13" s="75"/>
      <c r="S13" s="75"/>
      <c r="T13" s="75"/>
      <c r="U13" s="75"/>
    </row>
    <row r="14" spans="1:21" x14ac:dyDescent="0.25">
      <c r="A14" s="95"/>
      <c r="B14" s="95"/>
      <c r="C14" s="95" t="s">
        <v>236</v>
      </c>
      <c r="D14" s="95" t="s">
        <v>237</v>
      </c>
      <c r="E14" s="75"/>
      <c r="F14" s="75"/>
      <c r="G14" s="75"/>
      <c r="H14" s="75"/>
      <c r="I14" s="75"/>
      <c r="J14" s="75"/>
      <c r="K14" s="75"/>
      <c r="L14" s="75"/>
      <c r="M14" s="75"/>
      <c r="N14" s="75"/>
      <c r="O14" s="75"/>
      <c r="P14" s="75"/>
      <c r="Q14" s="75"/>
      <c r="R14" s="75"/>
      <c r="S14" s="75"/>
      <c r="T14" s="75"/>
      <c r="U14" s="75"/>
    </row>
    <row r="15" spans="1:21" x14ac:dyDescent="0.25">
      <c r="A15" s="95"/>
      <c r="B15" s="95"/>
      <c r="C15" s="95" t="s">
        <v>238</v>
      </c>
      <c r="D15" s="95" t="s">
        <v>239</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240</v>
      </c>
      <c r="C209" s="22" t="s">
        <v>241</v>
      </c>
      <c r="D209" s="25" t="s">
        <v>240</v>
      </c>
      <c r="E209" s="25" t="s">
        <v>241</v>
      </c>
    </row>
    <row r="210" spans="1:8" ht="21" x14ac:dyDescent="0.35">
      <c r="A210" s="75"/>
      <c r="B210" s="23" t="s">
        <v>242</v>
      </c>
      <c r="C210" s="23" t="s">
        <v>243</v>
      </c>
      <c r="D210" t="s">
        <v>242</v>
      </c>
      <c r="F210" t="str">
        <f>IF(NOT(ISBLANK(D210)),D210,IF(NOT(ISBLANK(E210)),"     "&amp;E210,FALSE))</f>
        <v>Afectación Económica o presupuestal</v>
      </c>
      <c r="G210" t="s">
        <v>242</v>
      </c>
      <c r="H210" t="str">
        <f>IF(NOT(ISERROR(MATCH(G210,_xlfn.ANCHORARRAY(B221),0))),F223&amp;"Por favor no seleccionar los criterios de impacto",G210)</f>
        <v>❌Por favor no seleccionar los criterios de impacto</v>
      </c>
    </row>
    <row r="211" spans="1:8" ht="21" x14ac:dyDescent="0.35">
      <c r="A211" s="75"/>
      <c r="B211" s="23" t="s">
        <v>242</v>
      </c>
      <c r="C211" s="23" t="s">
        <v>216</v>
      </c>
      <c r="E211" t="s">
        <v>243</v>
      </c>
      <c r="F211" t="str">
        <f t="shared" ref="F211:F221" si="0">IF(NOT(ISBLANK(D211)),D211,IF(NOT(ISBLANK(E211)),"     "&amp;E211,FALSE))</f>
        <v xml:space="preserve">     Afectación menor a 10 SMLMV .</v>
      </c>
    </row>
    <row r="212" spans="1:8" ht="21" x14ac:dyDescent="0.35">
      <c r="A212" s="75"/>
      <c r="B212" s="23" t="s">
        <v>242</v>
      </c>
      <c r="C212" s="23" t="s">
        <v>219</v>
      </c>
      <c r="E212" t="s">
        <v>216</v>
      </c>
      <c r="F212" t="str">
        <f t="shared" si="0"/>
        <v xml:space="preserve">     Entre 10 y 50 SMLMV </v>
      </c>
    </row>
    <row r="213" spans="1:8" ht="21" x14ac:dyDescent="0.35">
      <c r="A213" s="75"/>
      <c r="B213" s="23" t="s">
        <v>242</v>
      </c>
      <c r="C213" s="23" t="s">
        <v>223</v>
      </c>
      <c r="E213" t="s">
        <v>219</v>
      </c>
      <c r="F213" t="str">
        <f t="shared" si="0"/>
        <v xml:space="preserve">     Entre 50 y 100 SMLMV </v>
      </c>
    </row>
    <row r="214" spans="1:8" ht="21" x14ac:dyDescent="0.35">
      <c r="A214" s="75"/>
      <c r="B214" s="23" t="s">
        <v>242</v>
      </c>
      <c r="C214" s="23" t="s">
        <v>227</v>
      </c>
      <c r="E214" t="s">
        <v>223</v>
      </c>
      <c r="F214" t="str">
        <f t="shared" si="0"/>
        <v xml:space="preserve">     Entre 100 y 500 SMLMV </v>
      </c>
    </row>
    <row r="215" spans="1:8" ht="21" x14ac:dyDescent="0.35">
      <c r="A215" s="75"/>
      <c r="B215" s="23" t="s">
        <v>209</v>
      </c>
      <c r="C215" s="23" t="s">
        <v>213</v>
      </c>
      <c r="E215" t="s">
        <v>227</v>
      </c>
      <c r="F215" t="str">
        <f t="shared" si="0"/>
        <v xml:space="preserve">     Mayor a 500 SMLMV </v>
      </c>
    </row>
    <row r="216" spans="1:8" ht="21" x14ac:dyDescent="0.35">
      <c r="A216" s="75"/>
      <c r="B216" s="23" t="s">
        <v>209</v>
      </c>
      <c r="C216" s="23" t="s">
        <v>217</v>
      </c>
      <c r="D216" t="s">
        <v>209</v>
      </c>
      <c r="F216" t="str">
        <f t="shared" si="0"/>
        <v>Pérdida Reputacional</v>
      </c>
    </row>
    <row r="217" spans="1:8" ht="21" x14ac:dyDescent="0.35">
      <c r="A217" s="75"/>
      <c r="B217" s="23" t="s">
        <v>209</v>
      </c>
      <c r="C217" s="23" t="s">
        <v>220</v>
      </c>
      <c r="E217" t="s">
        <v>213</v>
      </c>
      <c r="F217" t="str">
        <f t="shared" si="0"/>
        <v xml:space="preserve">     El riesgo afecta la imagen de alguna área de la organización</v>
      </c>
    </row>
    <row r="218" spans="1:8" ht="21" x14ac:dyDescent="0.35">
      <c r="A218" s="75"/>
      <c r="B218" s="23" t="s">
        <v>209</v>
      </c>
      <c r="C218" s="23" t="s">
        <v>244</v>
      </c>
      <c r="E218" t="s">
        <v>217</v>
      </c>
      <c r="F218" t="str">
        <f t="shared" si="0"/>
        <v xml:space="preserve">     El riesgo afecta la imagen de la entidad internamente, de conocimiento general, nivel interno, de junta dircetiva y accionistas y/o de provedores</v>
      </c>
    </row>
    <row r="219" spans="1:8" ht="21" x14ac:dyDescent="0.35">
      <c r="A219" s="75"/>
      <c r="B219" s="23" t="s">
        <v>209</v>
      </c>
      <c r="C219" s="23" t="s">
        <v>228</v>
      </c>
      <c r="E219" t="s">
        <v>220</v>
      </c>
      <c r="F219" t="str">
        <f t="shared" si="0"/>
        <v xml:space="preserve">     El riesgo afecta la imagen de la entidad con algunos usuarios de relevancia frente al logro de los objetivos</v>
      </c>
    </row>
    <row r="220" spans="1:8" x14ac:dyDescent="0.25">
      <c r="A220" s="75"/>
      <c r="B220" s="24"/>
      <c r="C220" s="24"/>
      <c r="E220" t="s">
        <v>244</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228</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245</v>
      </c>
    </row>
    <row r="224" spans="1:8" x14ac:dyDescent="0.25">
      <c r="B224" s="19"/>
      <c r="C224" s="19"/>
      <c r="F224" s="27" t="s">
        <v>246</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63" t="s">
        <v>247</v>
      </c>
      <c r="C1" s="364"/>
      <c r="D1" s="364"/>
      <c r="E1" s="364"/>
      <c r="F1" s="365"/>
    </row>
    <row r="2" spans="2:6" ht="16.5" thickBot="1" x14ac:dyDescent="0.3">
      <c r="B2" s="81"/>
      <c r="C2" s="81"/>
      <c r="D2" s="81"/>
      <c r="E2" s="81"/>
      <c r="F2" s="81"/>
    </row>
    <row r="3" spans="2:6" ht="16.5" thickBot="1" x14ac:dyDescent="0.25">
      <c r="B3" s="367" t="s">
        <v>248</v>
      </c>
      <c r="C3" s="368"/>
      <c r="D3" s="368"/>
      <c r="E3" s="93" t="s">
        <v>249</v>
      </c>
      <c r="F3" s="94" t="s">
        <v>250</v>
      </c>
    </row>
    <row r="4" spans="2:6" ht="31.5" x14ac:dyDescent="0.2">
      <c r="B4" s="369" t="s">
        <v>251</v>
      </c>
      <c r="C4" s="371" t="s">
        <v>78</v>
      </c>
      <c r="D4" s="82" t="s">
        <v>118</v>
      </c>
      <c r="E4" s="83" t="s">
        <v>252</v>
      </c>
      <c r="F4" s="84">
        <v>0.25</v>
      </c>
    </row>
    <row r="5" spans="2:6" ht="47.25" x14ac:dyDescent="0.2">
      <c r="B5" s="370"/>
      <c r="C5" s="372"/>
      <c r="D5" s="85" t="s">
        <v>253</v>
      </c>
      <c r="E5" s="86" t="s">
        <v>254</v>
      </c>
      <c r="F5" s="87">
        <v>0.15</v>
      </c>
    </row>
    <row r="6" spans="2:6" ht="47.25" x14ac:dyDescent="0.2">
      <c r="B6" s="370"/>
      <c r="C6" s="372"/>
      <c r="D6" s="85" t="s">
        <v>255</v>
      </c>
      <c r="E6" s="86" t="s">
        <v>256</v>
      </c>
      <c r="F6" s="87">
        <v>0.1</v>
      </c>
    </row>
    <row r="7" spans="2:6" ht="63" x14ac:dyDescent="0.2">
      <c r="B7" s="370"/>
      <c r="C7" s="372" t="s">
        <v>101</v>
      </c>
      <c r="D7" s="85" t="s">
        <v>257</v>
      </c>
      <c r="E7" s="86" t="s">
        <v>258</v>
      </c>
      <c r="F7" s="87">
        <v>0.25</v>
      </c>
    </row>
    <row r="8" spans="2:6" ht="31.5" x14ac:dyDescent="0.2">
      <c r="B8" s="370"/>
      <c r="C8" s="372"/>
      <c r="D8" s="85" t="s">
        <v>119</v>
      </c>
      <c r="E8" s="86" t="s">
        <v>259</v>
      </c>
      <c r="F8" s="87">
        <v>0.15</v>
      </c>
    </row>
    <row r="9" spans="2:6" ht="47.25" x14ac:dyDescent="0.2">
      <c r="B9" s="370" t="s">
        <v>260</v>
      </c>
      <c r="C9" s="372" t="s">
        <v>103</v>
      </c>
      <c r="D9" s="85" t="s">
        <v>120</v>
      </c>
      <c r="E9" s="86" t="s">
        <v>261</v>
      </c>
      <c r="F9" s="88" t="s">
        <v>262</v>
      </c>
    </row>
    <row r="10" spans="2:6" ht="63" x14ac:dyDescent="0.2">
      <c r="B10" s="370"/>
      <c r="C10" s="372"/>
      <c r="D10" s="85" t="s">
        <v>263</v>
      </c>
      <c r="E10" s="86" t="s">
        <v>264</v>
      </c>
      <c r="F10" s="88" t="s">
        <v>262</v>
      </c>
    </row>
    <row r="11" spans="2:6" ht="47.25" x14ac:dyDescent="0.2">
      <c r="B11" s="370"/>
      <c r="C11" s="372" t="s">
        <v>104</v>
      </c>
      <c r="D11" s="85" t="s">
        <v>121</v>
      </c>
      <c r="E11" s="86" t="s">
        <v>265</v>
      </c>
      <c r="F11" s="88" t="s">
        <v>262</v>
      </c>
    </row>
    <row r="12" spans="2:6" ht="47.25" x14ac:dyDescent="0.2">
      <c r="B12" s="370"/>
      <c r="C12" s="372"/>
      <c r="D12" s="85" t="s">
        <v>266</v>
      </c>
      <c r="E12" s="86" t="s">
        <v>267</v>
      </c>
      <c r="F12" s="88" t="s">
        <v>262</v>
      </c>
    </row>
    <row r="13" spans="2:6" ht="31.5" x14ac:dyDescent="0.2">
      <c r="B13" s="370"/>
      <c r="C13" s="372" t="s">
        <v>105</v>
      </c>
      <c r="D13" s="85" t="s">
        <v>122</v>
      </c>
      <c r="E13" s="86" t="s">
        <v>268</v>
      </c>
      <c r="F13" s="88" t="s">
        <v>262</v>
      </c>
    </row>
    <row r="14" spans="2:6" ht="32.25" thickBot="1" x14ac:dyDescent="0.25">
      <c r="B14" s="373"/>
      <c r="C14" s="374"/>
      <c r="D14" s="89" t="s">
        <v>269</v>
      </c>
      <c r="E14" s="90" t="s">
        <v>270</v>
      </c>
      <c r="F14" s="91" t="s">
        <v>262</v>
      </c>
    </row>
    <row r="15" spans="2:6" ht="49.5" customHeight="1" x14ac:dyDescent="0.2">
      <c r="B15" s="366" t="s">
        <v>271</v>
      </c>
      <c r="C15" s="366"/>
      <c r="D15" s="366"/>
      <c r="E15" s="366"/>
      <c r="F15" s="366"/>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ColWidth="11.42578125" defaultRowHeight="15" x14ac:dyDescent="0.25"/>
  <sheetData>
    <row r="2" spans="2:5" x14ac:dyDescent="0.25">
      <c r="B2" t="s">
        <v>272</v>
      </c>
      <c r="E2" t="s">
        <v>273</v>
      </c>
    </row>
    <row r="3" spans="2:5" x14ac:dyDescent="0.25">
      <c r="B3" t="s">
        <v>150</v>
      </c>
      <c r="E3" t="s">
        <v>108</v>
      </c>
    </row>
    <row r="4" spans="2:5" x14ac:dyDescent="0.25">
      <c r="B4" t="s">
        <v>274</v>
      </c>
      <c r="E4" t="s">
        <v>130</v>
      </c>
    </row>
    <row r="5" spans="2:5" x14ac:dyDescent="0.25">
      <c r="B5" t="s">
        <v>123</v>
      </c>
    </row>
    <row r="8" spans="2:5" x14ac:dyDescent="0.25">
      <c r="B8" t="s">
        <v>275</v>
      </c>
    </row>
    <row r="9" spans="2:5" x14ac:dyDescent="0.25">
      <c r="B9" t="s">
        <v>276</v>
      </c>
    </row>
    <row r="10" spans="2:5" x14ac:dyDescent="0.25">
      <c r="B10" t="s">
        <v>128</v>
      </c>
    </row>
    <row r="13" spans="2:5" x14ac:dyDescent="0.25">
      <c r="B13" t="s">
        <v>277</v>
      </c>
    </row>
    <row r="14" spans="2:5" x14ac:dyDescent="0.25">
      <c r="B14" t="s">
        <v>278</v>
      </c>
    </row>
    <row r="15" spans="2:5" x14ac:dyDescent="0.25">
      <c r="B15" t="s">
        <v>279</v>
      </c>
    </row>
    <row r="16" spans="2:5" x14ac:dyDescent="0.25">
      <c r="B16" t="s">
        <v>280</v>
      </c>
    </row>
    <row r="17" spans="2:2" x14ac:dyDescent="0.25">
      <c r="B17" t="s">
        <v>281</v>
      </c>
    </row>
    <row r="18" spans="2:2" x14ac:dyDescent="0.25">
      <c r="B18" t="s">
        <v>282</v>
      </c>
    </row>
    <row r="19" spans="2:2" x14ac:dyDescent="0.25">
      <c r="B19" t="s">
        <v>283</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Plan de Accion ETITC</cp:lastModifiedBy>
  <cp:revision/>
  <dcterms:created xsi:type="dcterms:W3CDTF">2020-03-24T23:12:47Z</dcterms:created>
  <dcterms:modified xsi:type="dcterms:W3CDTF">2024-09-25T16:07:55Z</dcterms:modified>
  <cp:category/>
  <cp:contentStatus/>
</cp:coreProperties>
</file>