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6" documentId="11_37B80FAB888523A4097E9D5BE34EC3D09B7427B5" xr6:coauthVersionLast="47" xr6:coauthVersionMax="47" xr10:uidLastSave="{AF888F78-B1E9-4713-A926-5FBBD4C6A1E6}"/>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Valoración controles" sheetId="15" r:id="rId6"/>
    <sheet name="Tabla probabilidad" sheetId="12" r:id="rId7"/>
    <sheet name="Tabla Impacto" sheetId="13" r:id="rId8"/>
    <sheet name="Sheet1" sheetId="22" r:id="rId9"/>
    <sheet name="Opciones Tratamiento" sheetId="16" state="hidden" r:id="rId10"/>
    <sheet name="Hoja1" sheetId="11" state="hidden" r:id="rId11"/>
  </sheets>
  <externalReferences>
    <externalReference r:id="rId12"/>
  </externalReferenc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M11" i="1" s="1"/>
  <c r="O11" i="1"/>
  <c r="P11" i="1" s="1"/>
  <c r="Q11" i="1" s="1"/>
  <c r="V11" i="1"/>
  <c r="Y11" i="1"/>
  <c r="AG11" i="1" l="1"/>
  <c r="AF11" i="1" s="1"/>
  <c r="AC11" i="1"/>
  <c r="R11" i="1"/>
  <c r="Y13" i="1"/>
  <c r="V13" i="1"/>
  <c r="L13" i="1"/>
  <c r="Y12" i="1"/>
  <c r="V12" i="1"/>
  <c r="O12" i="1"/>
  <c r="P12" i="1" s="1"/>
  <c r="Q12" i="1" s="1"/>
  <c r="L12" i="1"/>
  <c r="L18" i="1"/>
  <c r="O13" i="1"/>
  <c r="AD11" i="1" l="1"/>
  <c r="AH11" i="1" s="1"/>
  <c r="AE11" i="1"/>
  <c r="P13" i="1"/>
  <c r="Q13" i="1" s="1"/>
  <c r="AG13" i="1" s="1"/>
  <c r="AF13" i="1" s="1"/>
  <c r="R12" i="1"/>
  <c r="AG12" i="1"/>
  <c r="AF12" i="1" s="1"/>
  <c r="M13" i="1"/>
  <c r="AC13" i="1" s="1"/>
  <c r="M12" i="1"/>
  <c r="AC12" i="1" s="1"/>
  <c r="F221" i="13"/>
  <c r="F211" i="13"/>
  <c r="F212" i="13"/>
  <c r="F213" i="13"/>
  <c r="F214" i="13"/>
  <c r="F215" i="13"/>
  <c r="F216" i="13"/>
  <c r="F217" i="13"/>
  <c r="F218" i="13"/>
  <c r="F219" i="13"/>
  <c r="F220" i="13"/>
  <c r="F210" i="13"/>
  <c r="B221" i="13" a="1"/>
  <c r="R13" i="1" l="1"/>
  <c r="AE12" i="1"/>
  <c r="AD12" i="1"/>
  <c r="AH12" i="1" s="1"/>
  <c r="AE13" i="1"/>
  <c r="AD13" i="1"/>
  <c r="AH13"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<sst xmlns="http://schemas.openxmlformats.org/spreadsheetml/2006/main" count="442" uniqueCount="293">
  <si>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</si>
  <si>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</si>
  <si>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</si>
  <si>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</si>
  <si>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</si>
  <si>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</si>
  <si>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</si>
  <si>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</si>
  <si>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</si>
  <si>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</si>
  <si>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</si>
  <si>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</si>
  <si>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</si>
  <si>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</si>
  <si>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</si>
  <si>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</si>
  <si>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</si>
  <si>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</si>
  <si>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</si>
  <si>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</si>
  <si>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</si>
  <si>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</si>
  <si>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</si>
  <si>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</si>
  <si>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</si>
  <si>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</si>
  <si>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</si>
  <si>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</si>
  <si>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</si>
  <si>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</si>
  <si>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</si>
  <si>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</si>
  <si>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</si>
  <si>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</si>
  <si>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</si>
  <si>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</si>
  <si>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</si>
  <si>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</si>
  <si>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</si>
  <si>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</si>
  <si>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</si>
  <si>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</si>
  <si>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</si>
  <si>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</si>
  <si>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</si>
  <si>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</si>
  <si>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</si>
  <si>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</si>
  <si>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</si>
  <si>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</si>
  <si>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</si>
  <si>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</si>
  <si>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</si>
  <si>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</si>
  <si>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</si>
  <si>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</si>
  <si>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</si>
  <si>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</si>
  <si>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</si>
  <si>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</si>
  <si>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</si>
  <si>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</si>
  <si>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</si>
  <si>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</si>
  <si>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</si>
  <si>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</si>
  <si>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</si>
  <si>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INVESTIGACIÓN</t>
  </si>
  <si>
    <t>Objetivo:</t>
  </si>
  <si>
    <t>Apoyar la investigación en la ETITC, mediante el fomento a las Actividades de Ciencia Tecnología e innovación ACTI, la generación del conocimiento y la gestión de la transferencia del conocimiento, para insertarse en el Sistema Nacional de Ciencia, Tecnología e Innovación.</t>
  </si>
  <si>
    <t>Alcance:</t>
  </si>
  <si>
    <t>Desde la estructuración de programas de formación investigativa, el apoyo a las ACTI y a la gestión de transferencia del conocimiento hasta la difusión de sus resultados.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</si>
  <si>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</si>
  <si>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</si>
  <si>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</si>
  <si>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</si>
  <si>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</si>
  <si>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</si>
  <si>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</si>
  <si>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</si>
  <si>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</si>
  <si>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</si>
  <si>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</si>
  <si>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</si>
  <si>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</si>
  <si>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</si>
  <si>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</si>
  <si>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</si>
  <si>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</si>
  <si>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</si>
  <si>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</si>
  <si>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</si>
  <si>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</si>
  <si>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</si>
  <si>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</si>
  <si>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</si>
  <si>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</si>
  <si>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</si>
  <si>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</si>
  <si>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</si>
  <si>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</si>
  <si>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</si>
  <si>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</si>
  <si>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</si>
  <si>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</si>
  <si>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</si>
  <si>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</si>
  <si>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Talento humano</t>
  </si>
  <si>
    <t>Reputacional</t>
  </si>
  <si>
    <t>No registro de productos de investigación</t>
  </si>
  <si>
    <t xml:space="preserve"> 
 Falta de habilidades para desarrollar procesos de investigación.</t>
  </si>
  <si>
    <t>Posibilidad de afectación reputacional debido a que los productos en los  proyectos de investigación no se desarrollen segùn los objetivos propuestos</t>
  </si>
  <si>
    <t>Ejecución y Administración de procesos</t>
  </si>
  <si>
    <t>Servicios</t>
  </si>
  <si>
    <t>NA</t>
  </si>
  <si>
    <t xml:space="preserve">     El riesgo afecta la imagen de la entidad con algunos usuarios de relevancia frente al logro de los objetivos</t>
  </si>
  <si>
    <t>Programar cursos y acompañamientos para fortalecer las habilidades de los investigadores</t>
  </si>
  <si>
    <t>Programaciòn de cursos y listas de asistencia de los acopañamientos realizados</t>
  </si>
  <si>
    <t>Preventivo</t>
  </si>
  <si>
    <t>Manual</t>
  </si>
  <si>
    <t>Documentado</t>
  </si>
  <si>
    <t>Continua</t>
  </si>
  <si>
    <t>Con Registro</t>
  </si>
  <si>
    <t>Reducir (mitigar)</t>
  </si>
  <si>
    <t xml:space="preserve">Socializaciòn de los avances de los proyectos de investigaciòn </t>
  </si>
  <si>
    <t>Vicerrectoría de Investigaciòn</t>
  </si>
  <si>
    <t>mayo 5 de 2023</t>
  </si>
  <si>
    <t xml:space="preserve">Se adelantó encuesta a los profesores para indagar sobre temas de capacitación   y se definió cronograma  Anexo  230214 Informe consulta temas de capacitación
Capacitación Web Of Science: 13/03/2023 24 Capacitados,  25/02/2023  30 estudiantes y 04/03/2023  33  estudiantes Anexo:  230313 Informe capacitacion Web Of Science 2023 I
Capacitación sobre PI
2/05/2023 24 capacitados
Capacitación sobre plataforma Turnitin
04/05/2023
24 capacitados. Anexos: Invitación capacitaciones sobre PI y manejo plataforma Turnitin, material de soporte, Informes de las capacitaciones 
Se realizó la capacitación de CVLAC (estructura y productos de apropiación social) el 26 de abril con 21 asistentes. 
</t>
  </si>
  <si>
    <t>En curso</t>
  </si>
  <si>
    <t>Económico y Reputacional</t>
  </si>
  <si>
    <t>No se presto el acompañamiento previsto al semillero</t>
  </si>
  <si>
    <t xml:space="preserve">Inhadecuada planaeciòn de las actividades para el semillero para el semestre
</t>
  </si>
  <si>
    <t>Posibilidad de afectación económica y reputacional debido a que no se cumplan con las expectativas de los estudiantes vinculados a los semilleros</t>
  </si>
  <si>
    <t>Documental</t>
  </si>
  <si>
    <t>Disponibilidad</t>
  </si>
  <si>
    <t>Aprobaciòn y seguimiento al plan de trabajo planteado por el semillero</t>
  </si>
  <si>
    <t>Informe semestral de los semilleros</t>
  </si>
  <si>
    <t>Mantener los controles establecidos en el procedimiento</t>
  </si>
  <si>
    <t>Contratista Semilleros</t>
  </si>
  <si>
    <t>Inscripción semilleros de investigación del 1 al 13 de febrero, con la participación de 25 semilleros y  un total de 315 estudiantes inscritos. El 24, 25 y 26 de marzo de 2023 se realizó el IX CAMPAMENTO DE SEMILLEROS DE INVESTIGACIÓN” con la participación de 48 estudiantes.  Encuentros personalizados con Directores de semilleros y estudiantes semilleristas.</t>
  </si>
  <si>
    <t>Corrupción</t>
  </si>
  <si>
    <t>Reportar productos de manera erronea</t>
  </si>
  <si>
    <t>No validar la autenticidad de los docuementos que soportan existencia y calidad de los productos</t>
  </si>
  <si>
    <t xml:space="preserve">Posibilidad de afectación reputacional debido a la verificaciòn de registros en GrupLac y Cvlac con información indebidamente soportada para favorecimiento de terceros </t>
  </si>
  <si>
    <t>Software</t>
  </si>
  <si>
    <t>Integridad</t>
  </si>
  <si>
    <t xml:space="preserve">Verificaciòn de la autenticidad de los productos </t>
  </si>
  <si>
    <t xml:space="preserve">Informe de verificación de existencia y calidad de  productos </t>
  </si>
  <si>
    <t>Evitar</t>
  </si>
  <si>
    <t>Plan de acompañamiento a grupos de investigación</t>
  </si>
  <si>
    <t>Contratista Apoyo a la investigación</t>
  </si>
  <si>
    <t>Se realizó la capacitación de CVLAC (estructura y productos de apropiación social) el 26 de abril con 21 asistentes. 
Se realizó el acompañamiento en el registro de productos e identificación de productos, además, se generaron 34 certificados de  innovación en procedimiento y servicios.</t>
  </si>
  <si>
    <t>en curso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</si>
  <si>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</si>
  <si>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Armando Solano Suárez</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</si>
  <si>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</si>
  <si>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</si>
  <si>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</si>
  <si>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</si>
  <si>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</si>
  <si>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</si>
  <si>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</si>
  <si>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</si>
  <si>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</si>
  <si>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</si>
  <si>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</si>
  <si>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</si>
  <si>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</si>
  <si>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Estratégico</t>
  </si>
  <si>
    <t>Infraestructura</t>
  </si>
  <si>
    <t>Procesos</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</si>
  <si>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</si>
  <si>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</si>
  <si>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</si>
  <si>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</si>
  <si>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</si>
  <si>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</si>
  <si>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</si>
  <si>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</si>
  <si>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</si>
  <si>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</si>
  <si>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</si>
  <si>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</si>
  <si>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</si>
  <si>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</si>
  <si>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</si>
  <si>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</si>
  <si>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</si>
  <si>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</si>
  <si>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</si>
  <si>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</si>
  <si>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</si>
  <si>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</si>
  <si>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</si>
  <si>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</si>
  <si>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</si>
  <si>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</si>
  <si>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</si>
  <si>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</si>
  <si>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</si>
  <si>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</si>
  <si>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</si>
  <si>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</si>
  <si>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</si>
  <si>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</si>
  <si>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</si>
  <si>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</si>
  <si>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</si>
  <si>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</si>
  <si>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</si>
  <si>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</si>
  <si>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</si>
  <si>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</si>
  <si>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</si>
  <si>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</si>
  <si>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</si>
  <si>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</si>
  <si>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</si>
  <si>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</si>
  <si>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</si>
  <si>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</si>
  <si>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</si>
  <si>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</si>
  <si>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</si>
  <si>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</si>
  <si>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</si>
  <si>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</si>
  <si>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</si>
  <si>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</si>
  <si>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</si>
  <si>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</si>
  <si>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</si>
  <si>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</si>
  <si>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</si>
  <si>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</si>
  <si>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</si>
  <si>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</si>
  <si>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</si>
  <si>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</si>
  <si>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</si>
  <si>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</si>
  <si>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</si>
  <si>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</si>
  <si>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</si>
  <si>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</si>
  <si>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</si>
  <si>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</si>
  <si>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</si>
  <si>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</si>
  <si>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</si>
  <si>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</si>
  <si>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</si>
  <si>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</si>
  <si>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</si>
  <si>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</si>
  <si>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</si>
  <si>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</si>
  <si>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</si>
  <si>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</si>
  <si>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</si>
  <si>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</si>
  <si>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</si>
  <si>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</si>
  <si>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</si>
  <si>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</si>
  <si>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</si>
  <si>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</si>
  <si>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</si>
  <si>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</si>
  <si>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Aceptar</t>
  </si>
  <si>
    <t>Económico</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</si>
  <si>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</si>
  <si>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</si>
  <si>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</si>
  <si>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</si>
  <si>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</si>
  <si>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</si>
  <si>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</si>
  <si>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</si>
  <si>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</si>
  <si>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</si>
  <si>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</si>
  <si>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</si>
  <si>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</si>
  <si>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</si>
  <si>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https://itceduco-my.sharepoint.com/:f:/g/personal/auxviceinvestigacion_itc_edu_co/EnmCdIAV7sJIiEUrFREiKkcBFpke_qz6EmyFuzMMsvom5w?e=5%3aDAZSRL&amp;fromShare=true&amp;at=9</t>
  </si>
  <si>
    <t xml:space="preserve">Con el fin de articular los objetivos planeados con los productos conseguido, desde la Vicerrectoría de investigación se realizó una capacitación en uso de base de datos Web Of Science (16/08/2023), se presenta como evidencia la lista de asistencia. </t>
  </si>
  <si>
    <t xml:space="preserve">Inscripción semilleros de investigación del 1 al 15 de agosto, con la participación de 27 semilleros y un total de 447 estudiantes inscritos (se presenta la lista de personas inscritas). Se realizó la movilidad a México con dos estudiantes de semilleros del 22 al 30 de julio, como resultado se obtuvo medalla de plata (se presenta el informe de gestión del evento). Se presentó informe a la Vicerrectoría de Investigación del plan de seguimiento y criterios de evaluación de proyectos de semilleros (Se muestra como evidencia la matriz de seguimiento a los semilleros y productos a desarrollar). </t>
  </si>
  <si>
    <t xml:space="preserve">Se realizó la capacitación de CVLAC, así:
• Capacitación CVLAC - Productos de nuevo conocimiento (3 de mayo de 2023) / Asistentes: 10 personas, se presenta como evidencia la lista de asistencia. 
• Capacitación CVLAC - Productos de desarrollo tecnológico e innovación (10 de mayo de 2023) / Asistentes: 6 personas. se presenta como evidencia la lista de asistencia. 
Se realizó el acompañamiento en el registro de productos en GRUPLAC e identificación de productos, además, se generaron:
- 2 certificados de libros de formación
- 6 certificados de innovación en procedimiento y servicios.
</t>
  </si>
  <si>
    <t>Se evidencia la capacitacion brindada los dias 3 y 8 de noviembre en temas de patentes con el proveedor Olarte Moure,  Los temas principales tratados por esta charla fueron los conceptos de activos intangibles, diseños industriales, principios, limites, requisitos, novedad de las patentes de invención. y las diferencias entre una idea y una invención, el estado de la técnica de una patente, el nivel inventivo, tramites de una patente, vida de una patente, las partes de una patente, reivindicaciones y secretos empresariales,  dicha capacitacion conto con la participacion de administrativos, docentes y estudiantes, acción que contribuye con la mitigacion del riesgo identificado.</t>
  </si>
  <si>
    <t>Se evidencia la planilla de asis tencia al cierre de los semilleros de investigacion el dia 25 de octubre de 2023,  con la asistencia de 74 participantes,  entre estudiantes, docentes y administrativos,  asi mismo se cuenta con la participacion al  XX encuentro internacional de semilleros de RedColsi en la ciudada de Cartagena,  de igual modo, en el mes de noviembre a fecha de este seguimiento se cuenta con la participacion en Expociencias Nacional en Chile 2023, para la presentacion del proyecto "Diseño de un prototipo de Turbina eolica de bajo costo",  desarrollada del 14 al 17 de noviembre,  acciones que contribuyen con la mitigacion del riesgo identificado.</t>
  </si>
  <si>
    <t>Se evidencio que el equipo de investigacion cuenta con 10 grupos de investigacion  de los cuales se cuenta con los soportes que evidencian el desarrollo de actividades, adicionalmente para el grupo Techne, se cuenta con la cettificacion emitida con la aprobacion del Vicerrector de investigación, con fecha 25 de octubre de 2023,  adicionalmente, se cuenta con el certificado de la Direccion nacional de Derechos de Autor,  en la cual se observa el registro  ante el ministerio del interior, asi mismo, se cuenta con el certificado de creditos y aval de libro " Resultado de investigacion"  de fecha 1 de septiembre, para el equipo virtus, Gipec,  se cuenta con los registros de sofware desarrollado por el grupo, de fecha  19 de octubre de 2023, se cuenta con la certificacion correspondiente al desarrolo de un "Prototipo para medicion y  control  digital  de variables fisicas,  de nivel y flujo", realizada en el mes de septiembre del año en curso por el representante legal. asi mismo, se cujenta con evidencia del grupo Kdemy,p con el fin de realizar la publicacion de un articulo, sin embargo, la gestion fue para el Docente, en el marco de los estudios de Doctorado, fue remitidad la informacion de las revisatas sugeridas, que no incurren en riesgo de manejo reputacional en el manejo de la información alli publicada. dichas acciones contribuyen con la mitigacion del riesgo identificado para la vigencia.</t>
  </si>
  <si>
    <t>Fecha de actualización: 14/11/2023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</si>
</sst>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1"/>
      <color theme="3"/>
      <name val="Arial Narrow"/>
      <family val="2"/>
    </font>
    <font>
      <u/>
      <sz val="11"/>
      <color theme="10"/>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3" fillId="0" borderId="0" applyFont="0" applyFill="0" applyBorder="0" applyAlignment="0" applyProtection="0"/>
    <xf numFmtId="0" fontId="45" fillId="0" borderId="0"/>
    <xf numFmtId="0" fontId="46" fillId="0" borderId="0"/>
    <xf numFmtId="0" fontId="5" fillId="0" borderId="0"/>
    <xf numFmtId="0" fontId="67" fillId="0" borderId="0" applyNumberFormat="0" applyFill="0" applyBorder="0" applyAlignment="0" applyProtection="0"/>
  </cellStyleXfs>
  <cellXfs count="378">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0" xfId="0" applyFont="1" applyAlignment="1">
      <alignment wrapText="1"/>
    </xf>
    <xf numFmtId="0" fontId="1"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3" borderId="0" xfId="0" applyFont="1" applyFill="1" applyAlignment="1">
      <alignment horizontal="center" vertical="center"/>
    </xf>
    <xf numFmtId="0" fontId="1" fillId="0" borderId="21" xfId="0" applyFont="1" applyBorder="1" applyAlignment="1" applyProtection="1">
      <alignment horizontal="left" vertical="center" wrapText="1"/>
      <protection locked="0"/>
    </xf>
    <xf numFmtId="0" fontId="2" fillId="0" borderId="21" xfId="0" applyFont="1" applyBorder="1" applyAlignment="1" applyProtection="1">
      <alignment horizontal="center" vertical="center" wrapText="1"/>
      <protection locked="0"/>
    </xf>
    <xf numFmtId="14" fontId="1" fillId="16" borderId="21" xfId="0" applyNumberFormat="1" applyFont="1" applyFill="1" applyBorder="1" applyAlignment="1" applyProtection="1">
      <alignment horizontal="center" vertical="center"/>
      <protection locked="0"/>
    </xf>
    <xf numFmtId="0" fontId="45" fillId="16" borderId="0" xfId="0" applyFont="1" applyFill="1" applyAlignment="1">
      <alignment vertical="center" wrapText="1"/>
    </xf>
    <xf numFmtId="0" fontId="0" fillId="16" borderId="0" xfId="0" applyFill="1"/>
    <xf numFmtId="0" fontId="65" fillId="16" borderId="0" xfId="0" applyFont="1" applyFill="1" applyAlignment="1">
      <alignment vertical="center" wrapText="1"/>
    </xf>
    <xf numFmtId="0" fontId="1" fillId="16" borderId="0" xfId="0" applyFont="1" applyFill="1"/>
    <xf numFmtId="0" fontId="1" fillId="16" borderId="21" xfId="0" applyFont="1" applyFill="1" applyBorder="1" applyAlignment="1" applyProtection="1">
      <alignment horizontal="center" vertical="center" wrapText="1"/>
      <protection locked="0"/>
    </xf>
    <xf numFmtId="0" fontId="0" fillId="16" borderId="0" xfId="0" applyFill="1" applyAlignment="1">
      <alignment wrapText="1"/>
    </xf>
    <xf numFmtId="0" fontId="1" fillId="16" borderId="21" xfId="0" applyFont="1" applyFill="1" applyBorder="1" applyAlignment="1" applyProtection="1">
      <alignment horizontal="center" vertical="center"/>
      <protection locked="0"/>
    </xf>
    <xf numFmtId="0" fontId="67" fillId="0" borderId="21" xfId="5" applyBorder="1" applyAlignment="1" applyProtection="1">
      <alignment horizontal="left"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21" xfId="0" applyFont="1" applyBorder="1" applyAlignment="1">
      <alignment horizontal="left" vertical="center"/>
    </xf>
    <xf numFmtId="0" fontId="60" fillId="7" borderId="21" xfId="0" applyFont="1" applyFill="1" applyBorder="1" applyAlignment="1">
      <alignment horizontal="center" vertical="center" wrapText="1"/>
    </xf>
    <xf numFmtId="0" fontId="61" fillId="0" borderId="67" xfId="0" applyFont="1" applyBorder="1" applyAlignment="1">
      <alignment horizontal="left" vertical="center"/>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horizontal="left" vertical="center" wrapText="1"/>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8">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107561</xdr:colOff>
      <xdr:row>0</xdr:row>
      <xdr:rowOff>0</xdr:rowOff>
    </xdr:from>
    <xdr:to>
      <xdr:col>2</xdr:col>
      <xdr:colOff>891169</xdr:colOff>
      <xdr:row>2</xdr:row>
      <xdr:rowOff>193493</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5571" y="0"/>
          <a:ext cx="783608"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Inv%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7" dataDxfId="26">
  <autoFilter ref="B209:C219" xr:uid="{00000000-0009-0000-0100-000001000000}"/>
  <tableColumns count="2">
    <tableColumn id="1" xr3:uid="{00000000-0010-0000-0000-000001000000}" name="Criterios" dataDxfId="25"/>
    <tableColumn id="2" xr3:uid="{00000000-0010-0000-0000-000002000000}" name="Subcriterios" dataDxfId="2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auxviceinvestigacion_itc_edu_co/EnmCdIAV7sJIiEUrFREiKkcBFpke_qz6EmyFuzMMsvom5w?e=5%3aDAZSRL&amp;fromShare=true&amp;at=9" TargetMode="External"/><Relationship Id="rId2" Type="http://schemas.openxmlformats.org/officeDocument/2006/relationships/hyperlink" Target="../../../../../../:f:/g/personal/auxviceinvestigacion_itc_edu_co/EnmCdIAV7sJIiEUrFREiKkcBFpke_qz6EmyFuzMMsvom5w?e=5%3aDAZSRL&amp;fromShare=true&amp;at=9" TargetMode="External"/><Relationship Id="rId1" Type="http://schemas.openxmlformats.org/officeDocument/2006/relationships/hyperlink" Target="../../../../../../:f:/g/personal/auxviceinvestigacion_itc_edu_co/EnmCdIAV7sJIiEUrFREiKkcBFpke_qz6EmyFuzMMsvom5w?e=5%3aDAZSRL&amp;fromShare=true&amp;at=9"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3" t="s">
        <v>0</v>
      </c>
      <c r="C2" s="164"/>
      <c r="D2" s="164"/>
      <c r="E2" s="164"/>
      <c r="F2" s="164"/>
      <c r="G2" s="164"/>
      <c r="H2" s="165"/>
    </row>
    <row r="3" spans="2:8" x14ac:dyDescent="0.25">
      <c r="B3" s="76"/>
      <c r="C3" s="77"/>
      <c r="D3" s="77"/>
      <c r="E3" s="77"/>
      <c r="F3" s="77"/>
      <c r="G3" s="77"/>
      <c r="H3" s="78"/>
    </row>
    <row r="4" spans="2:8" ht="63" customHeight="1" x14ac:dyDescent="0.25">
      <c r="B4" s="166" t="s">
        <v>1</v>
      </c>
      <c r="C4" s="167"/>
      <c r="D4" s="167"/>
      <c r="E4" s="167"/>
      <c r="F4" s="167"/>
      <c r="G4" s="167"/>
      <c r="H4" s="168"/>
    </row>
    <row r="5" spans="2:8" ht="63" customHeight="1" x14ac:dyDescent="0.25">
      <c r="B5" s="169"/>
      <c r="C5" s="170"/>
      <c r="D5" s="170"/>
      <c r="E5" s="170"/>
      <c r="F5" s="170"/>
      <c r="G5" s="170"/>
      <c r="H5" s="171"/>
    </row>
    <row r="6" spans="2:8" ht="16.5" x14ac:dyDescent="0.25">
      <c r="B6" s="172" t="s">
        <v>2</v>
      </c>
      <c r="C6" s="173"/>
      <c r="D6" s="173"/>
      <c r="E6" s="173"/>
      <c r="F6" s="173"/>
      <c r="G6" s="173"/>
      <c r="H6" s="174"/>
    </row>
    <row r="7" spans="2:8" ht="95.25" customHeight="1" x14ac:dyDescent="0.25">
      <c r="B7" s="182" t="s">
        <v>3</v>
      </c>
      <c r="C7" s="183"/>
      <c r="D7" s="183"/>
      <c r="E7" s="183"/>
      <c r="F7" s="183"/>
      <c r="G7" s="183"/>
      <c r="H7" s="184"/>
    </row>
    <row r="8" spans="2:8" ht="16.5" x14ac:dyDescent="0.25">
      <c r="B8" s="112"/>
      <c r="C8" s="113"/>
      <c r="D8" s="113"/>
      <c r="E8" s="113"/>
      <c r="F8" s="113"/>
      <c r="G8" s="113"/>
      <c r="H8" s="114"/>
    </row>
    <row r="9" spans="2:8" ht="16.5" customHeight="1" x14ac:dyDescent="0.25">
      <c r="B9" s="175" t="s">
        <v>4</v>
      </c>
      <c r="C9" s="176"/>
      <c r="D9" s="176"/>
      <c r="E9" s="176"/>
      <c r="F9" s="176"/>
      <c r="G9" s="176"/>
      <c r="H9" s="177"/>
    </row>
    <row r="10" spans="2:8" ht="44.25" customHeight="1" x14ac:dyDescent="0.25">
      <c r="B10" s="175"/>
      <c r="C10" s="176"/>
      <c r="D10" s="176"/>
      <c r="E10" s="176"/>
      <c r="F10" s="176"/>
      <c r="G10" s="176"/>
      <c r="H10" s="177"/>
    </row>
    <row r="11" spans="2:8" ht="15.75" thickBot="1" x14ac:dyDescent="0.3">
      <c r="B11" s="101"/>
      <c r="C11" s="104"/>
      <c r="D11" s="109"/>
      <c r="E11" s="110"/>
      <c r="F11" s="110"/>
      <c r="G11" s="111"/>
      <c r="H11" s="105"/>
    </row>
    <row r="12" spans="2:8" ht="15.75" thickTop="1" x14ac:dyDescent="0.25">
      <c r="B12" s="101"/>
      <c r="C12" s="178" t="s">
        <v>5</v>
      </c>
      <c r="D12" s="179"/>
      <c r="E12" s="180" t="s">
        <v>6</v>
      </c>
      <c r="F12" s="181"/>
      <c r="G12" s="104"/>
      <c r="H12" s="105"/>
    </row>
    <row r="13" spans="2:8" ht="35.25" customHeight="1" x14ac:dyDescent="0.25">
      <c r="B13" s="101"/>
      <c r="C13" s="185" t="s">
        <v>7</v>
      </c>
      <c r="D13" s="186"/>
      <c r="E13" s="187" t="s">
        <v>8</v>
      </c>
      <c r="F13" s="188"/>
      <c r="G13" s="104"/>
      <c r="H13" s="105"/>
    </row>
    <row r="14" spans="2:8" ht="17.25" customHeight="1" x14ac:dyDescent="0.25">
      <c r="B14" s="101"/>
      <c r="C14" s="185" t="s">
        <v>9</v>
      </c>
      <c r="D14" s="186"/>
      <c r="E14" s="187" t="s">
        <v>10</v>
      </c>
      <c r="F14" s="188"/>
      <c r="G14" s="104"/>
      <c r="H14" s="105"/>
    </row>
    <row r="15" spans="2:8" ht="19.5" customHeight="1" x14ac:dyDescent="0.25">
      <c r="B15" s="101"/>
      <c r="C15" s="185" t="s">
        <v>11</v>
      </c>
      <c r="D15" s="186"/>
      <c r="E15" s="187" t="s">
        <v>12</v>
      </c>
      <c r="F15" s="188"/>
      <c r="G15" s="104"/>
      <c r="H15" s="105"/>
    </row>
    <row r="16" spans="2:8" ht="69.75" customHeight="1" x14ac:dyDescent="0.25">
      <c r="B16" s="101"/>
      <c r="C16" s="185" t="s">
        <v>13</v>
      </c>
      <c r="D16" s="186"/>
      <c r="E16" s="187" t="s">
        <v>14</v>
      </c>
      <c r="F16" s="188"/>
      <c r="G16" s="104"/>
      <c r="H16" s="105"/>
    </row>
    <row r="17" spans="2:8" ht="34.5" customHeight="1" x14ac:dyDescent="0.25">
      <c r="B17" s="101"/>
      <c r="C17" s="189" t="s">
        <v>15</v>
      </c>
      <c r="D17" s="190"/>
      <c r="E17" s="191" t="s">
        <v>16</v>
      </c>
      <c r="F17" s="192"/>
      <c r="G17" s="104"/>
      <c r="H17" s="105"/>
    </row>
    <row r="18" spans="2:8" ht="27.75" customHeight="1" x14ac:dyDescent="0.25">
      <c r="B18" s="101"/>
      <c r="C18" s="189" t="s">
        <v>17</v>
      </c>
      <c r="D18" s="190"/>
      <c r="E18" s="191" t="s">
        <v>18</v>
      </c>
      <c r="F18" s="192"/>
      <c r="G18" s="104"/>
      <c r="H18" s="105"/>
    </row>
    <row r="19" spans="2:8" ht="28.5" customHeight="1" x14ac:dyDescent="0.25">
      <c r="B19" s="101"/>
      <c r="C19" s="189" t="s">
        <v>19</v>
      </c>
      <c r="D19" s="190"/>
      <c r="E19" s="191" t="s">
        <v>20</v>
      </c>
      <c r="F19" s="192"/>
      <c r="G19" s="104"/>
      <c r="H19" s="105"/>
    </row>
    <row r="20" spans="2:8" ht="72.75" customHeight="1" x14ac:dyDescent="0.25">
      <c r="B20" s="101"/>
      <c r="C20" s="189" t="s">
        <v>21</v>
      </c>
      <c r="D20" s="190"/>
      <c r="E20" s="191" t="s">
        <v>22</v>
      </c>
      <c r="F20" s="192"/>
      <c r="G20" s="104"/>
      <c r="H20" s="105"/>
    </row>
    <row r="21" spans="2:8" ht="64.5" customHeight="1" x14ac:dyDescent="0.25">
      <c r="B21" s="101"/>
      <c r="C21" s="189" t="s">
        <v>23</v>
      </c>
      <c r="D21" s="190"/>
      <c r="E21" s="191" t="s">
        <v>24</v>
      </c>
      <c r="F21" s="192"/>
      <c r="G21" s="104"/>
      <c r="H21" s="105"/>
    </row>
    <row r="22" spans="2:8" ht="71.25" customHeight="1" x14ac:dyDescent="0.25">
      <c r="B22" s="101"/>
      <c r="C22" s="189" t="s">
        <v>25</v>
      </c>
      <c r="D22" s="190"/>
      <c r="E22" s="191" t="s">
        <v>26</v>
      </c>
      <c r="F22" s="192"/>
      <c r="G22" s="104"/>
      <c r="H22" s="105"/>
    </row>
    <row r="23" spans="2:8" ht="55.5" customHeight="1" x14ac:dyDescent="0.25">
      <c r="B23" s="101"/>
      <c r="C23" s="196" t="s">
        <v>27</v>
      </c>
      <c r="D23" s="197"/>
      <c r="E23" s="191" t="s">
        <v>28</v>
      </c>
      <c r="F23" s="192"/>
      <c r="G23" s="104"/>
      <c r="H23" s="105"/>
    </row>
    <row r="24" spans="2:8" ht="42" customHeight="1" x14ac:dyDescent="0.25">
      <c r="B24" s="101"/>
      <c r="C24" s="196" t="s">
        <v>29</v>
      </c>
      <c r="D24" s="197"/>
      <c r="E24" s="191" t="s">
        <v>30</v>
      </c>
      <c r="F24" s="192"/>
      <c r="G24" s="104"/>
      <c r="H24" s="105"/>
    </row>
    <row r="25" spans="2:8" ht="59.25" customHeight="1" x14ac:dyDescent="0.25">
      <c r="B25" s="101"/>
      <c r="C25" s="196" t="s">
        <v>31</v>
      </c>
      <c r="D25" s="197"/>
      <c r="E25" s="191" t="s">
        <v>32</v>
      </c>
      <c r="F25" s="192"/>
      <c r="G25" s="104"/>
      <c r="H25" s="105"/>
    </row>
    <row r="26" spans="2:8" ht="23.25" customHeight="1" x14ac:dyDescent="0.25">
      <c r="B26" s="101"/>
      <c r="C26" s="196" t="s">
        <v>33</v>
      </c>
      <c r="D26" s="197"/>
      <c r="E26" s="191" t="s">
        <v>34</v>
      </c>
      <c r="F26" s="192"/>
      <c r="G26" s="104"/>
      <c r="H26" s="105"/>
    </row>
    <row r="27" spans="2:8" ht="30.75" customHeight="1" x14ac:dyDescent="0.25">
      <c r="B27" s="101"/>
      <c r="C27" s="196" t="s">
        <v>35</v>
      </c>
      <c r="D27" s="197"/>
      <c r="E27" s="191" t="s">
        <v>36</v>
      </c>
      <c r="F27" s="192"/>
      <c r="G27" s="104"/>
      <c r="H27" s="105"/>
    </row>
    <row r="28" spans="2:8" ht="35.25" customHeight="1" x14ac:dyDescent="0.25">
      <c r="B28" s="101"/>
      <c r="C28" s="196" t="s">
        <v>37</v>
      </c>
      <c r="D28" s="197"/>
      <c r="E28" s="191" t="s">
        <v>38</v>
      </c>
      <c r="F28" s="192"/>
      <c r="G28" s="104"/>
      <c r="H28" s="105"/>
    </row>
    <row r="29" spans="2:8" ht="33" customHeight="1" x14ac:dyDescent="0.25">
      <c r="B29" s="101"/>
      <c r="C29" s="196" t="s">
        <v>37</v>
      </c>
      <c r="D29" s="197"/>
      <c r="E29" s="191" t="s">
        <v>38</v>
      </c>
      <c r="F29" s="192"/>
      <c r="G29" s="104"/>
      <c r="H29" s="105"/>
    </row>
    <row r="30" spans="2:8" ht="30" customHeight="1" x14ac:dyDescent="0.25">
      <c r="B30" s="101"/>
      <c r="C30" s="196" t="s">
        <v>39</v>
      </c>
      <c r="D30" s="197"/>
      <c r="E30" s="191" t="s">
        <v>40</v>
      </c>
      <c r="F30" s="192"/>
      <c r="G30" s="104"/>
      <c r="H30" s="105"/>
    </row>
    <row r="31" spans="2:8" ht="35.25" customHeight="1" x14ac:dyDescent="0.25">
      <c r="B31" s="101"/>
      <c r="C31" s="196" t="s">
        <v>41</v>
      </c>
      <c r="D31" s="197"/>
      <c r="E31" s="191" t="s">
        <v>42</v>
      </c>
      <c r="F31" s="192"/>
      <c r="G31" s="104"/>
      <c r="H31" s="105"/>
    </row>
    <row r="32" spans="2:8" ht="31.5" customHeight="1" x14ac:dyDescent="0.25">
      <c r="B32" s="101"/>
      <c r="C32" s="196" t="s">
        <v>43</v>
      </c>
      <c r="D32" s="197"/>
      <c r="E32" s="191" t="s">
        <v>44</v>
      </c>
      <c r="F32" s="192"/>
      <c r="G32" s="104"/>
      <c r="H32" s="105"/>
    </row>
    <row r="33" spans="2:8" ht="35.25" customHeight="1" x14ac:dyDescent="0.25">
      <c r="B33" s="101"/>
      <c r="C33" s="196" t="s">
        <v>45</v>
      </c>
      <c r="D33" s="197"/>
      <c r="E33" s="191" t="s">
        <v>46</v>
      </c>
      <c r="F33" s="192"/>
      <c r="G33" s="104"/>
      <c r="H33" s="105"/>
    </row>
    <row r="34" spans="2:8" ht="59.25" customHeight="1" x14ac:dyDescent="0.25">
      <c r="B34" s="101"/>
      <c r="C34" s="196" t="s">
        <v>47</v>
      </c>
      <c r="D34" s="197"/>
      <c r="E34" s="191" t="s">
        <v>48</v>
      </c>
      <c r="F34" s="192"/>
      <c r="G34" s="104"/>
      <c r="H34" s="105"/>
    </row>
    <row r="35" spans="2:8" ht="29.25" customHeight="1" x14ac:dyDescent="0.25">
      <c r="B35" s="101"/>
      <c r="C35" s="196" t="s">
        <v>49</v>
      </c>
      <c r="D35" s="197"/>
      <c r="E35" s="191" t="s">
        <v>50</v>
      </c>
      <c r="F35" s="192"/>
      <c r="G35" s="104"/>
      <c r="H35" s="105"/>
    </row>
    <row r="36" spans="2:8" ht="82.5" customHeight="1" x14ac:dyDescent="0.25">
      <c r="B36" s="101"/>
      <c r="C36" s="196" t="s">
        <v>51</v>
      </c>
      <c r="D36" s="197"/>
      <c r="E36" s="191" t="s">
        <v>52</v>
      </c>
      <c r="F36" s="192"/>
      <c r="G36" s="104"/>
      <c r="H36" s="105"/>
    </row>
    <row r="37" spans="2:8" ht="46.5" customHeight="1" x14ac:dyDescent="0.25">
      <c r="B37" s="101"/>
      <c r="C37" s="196" t="s">
        <v>53</v>
      </c>
      <c r="D37" s="197"/>
      <c r="E37" s="191" t="s">
        <v>54</v>
      </c>
      <c r="F37" s="192"/>
      <c r="G37" s="104"/>
      <c r="H37" s="105"/>
    </row>
    <row r="38" spans="2:8" ht="6.75" customHeight="1" thickBot="1" x14ac:dyDescent="0.3">
      <c r="B38" s="101"/>
      <c r="C38" s="198"/>
      <c r="D38" s="199"/>
      <c r="E38" s="200"/>
      <c r="F38" s="201"/>
      <c r="G38" s="104"/>
      <c r="H38" s="105"/>
    </row>
    <row r="39" spans="2:8" ht="15.75" thickTop="1" x14ac:dyDescent="0.25">
      <c r="B39" s="101"/>
      <c r="C39" s="102"/>
      <c r="D39" s="102"/>
      <c r="E39" s="103"/>
      <c r="F39" s="103"/>
      <c r="G39" s="104"/>
      <c r="H39" s="105"/>
    </row>
    <row r="40" spans="2:8" ht="21" customHeight="1" x14ac:dyDescent="0.25">
      <c r="B40" s="193" t="s">
        <v>55</v>
      </c>
      <c r="C40" s="194"/>
      <c r="D40" s="194"/>
      <c r="E40" s="194"/>
      <c r="F40" s="194"/>
      <c r="G40" s="194"/>
      <c r="H40" s="195"/>
    </row>
    <row r="41" spans="2:8" ht="20.25" customHeight="1" x14ac:dyDescent="0.25">
      <c r="B41" s="193" t="s">
        <v>56</v>
      </c>
      <c r="C41" s="194"/>
      <c r="D41" s="194"/>
      <c r="E41" s="194"/>
      <c r="F41" s="194"/>
      <c r="G41" s="194"/>
      <c r="H41" s="195"/>
    </row>
    <row r="42" spans="2:8" ht="20.25" customHeight="1" x14ac:dyDescent="0.25">
      <c r="B42" s="193" t="s">
        <v>57</v>
      </c>
      <c r="C42" s="194"/>
      <c r="D42" s="194"/>
      <c r="E42" s="194"/>
      <c r="F42" s="194"/>
      <c r="G42" s="194"/>
      <c r="H42" s="195"/>
    </row>
    <row r="43" spans="2:8" ht="20.25" customHeight="1" x14ac:dyDescent="0.25">
      <c r="B43" s="193" t="s">
        <v>58</v>
      </c>
      <c r="C43" s="194"/>
      <c r="D43" s="194"/>
      <c r="E43" s="194"/>
      <c r="F43" s="194"/>
      <c r="G43" s="194"/>
      <c r="H43" s="195"/>
    </row>
    <row r="44" spans="2:8" x14ac:dyDescent="0.25">
      <c r="B44" s="193" t="s">
        <v>59</v>
      </c>
      <c r="C44" s="194"/>
      <c r="D44" s="194"/>
      <c r="E44" s="194"/>
      <c r="F44" s="194"/>
      <c r="G44" s="194"/>
      <c r="H44" s="195"/>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269</v>
      </c>
      <c r="E2" t="s">
        <v>270</v>
      </c>
    </row>
    <row r="3" spans="2:5" x14ac:dyDescent="0.25">
      <c r="B3" t="s">
        <v>148</v>
      </c>
      <c r="E3" t="s">
        <v>108</v>
      </c>
    </row>
    <row r="4" spans="2:5" x14ac:dyDescent="0.25">
      <c r="B4" t="s">
        <v>271</v>
      </c>
      <c r="E4" t="s">
        <v>129</v>
      </c>
    </row>
    <row r="5" spans="2:5" x14ac:dyDescent="0.25">
      <c r="B5" t="s">
        <v>123</v>
      </c>
    </row>
    <row r="8" spans="2:5" x14ac:dyDescent="0.25">
      <c r="B8" t="s">
        <v>272</v>
      </c>
    </row>
    <row r="9" spans="2:5" x14ac:dyDescent="0.25">
      <c r="B9" t="s">
        <v>273</v>
      </c>
    </row>
    <row r="10" spans="2:5" x14ac:dyDescent="0.25">
      <c r="B10" t="s">
        <v>128</v>
      </c>
    </row>
    <row r="13" spans="2:5" x14ac:dyDescent="0.25">
      <c r="B13" t="s">
        <v>274</v>
      </c>
    </row>
    <row r="14" spans="2:5" x14ac:dyDescent="0.25">
      <c r="B14" t="s">
        <v>275</v>
      </c>
    </row>
    <row r="15" spans="2:5" x14ac:dyDescent="0.25">
      <c r="B15" t="s">
        <v>276</v>
      </c>
    </row>
    <row r="16" spans="2:5" x14ac:dyDescent="0.25">
      <c r="B16" t="s">
        <v>277</v>
      </c>
    </row>
    <row r="17" spans="2:2" x14ac:dyDescent="0.25">
      <c r="B17" t="s">
        <v>278</v>
      </c>
    </row>
    <row r="18" spans="2:2" x14ac:dyDescent="0.25">
      <c r="B18" t="s">
        <v>279</v>
      </c>
    </row>
    <row r="19" spans="2:2" x14ac:dyDescent="0.25">
      <c r="B19" t="s">
        <v>280</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118</v>
      </c>
    </row>
    <row r="4" spans="1:1" x14ac:dyDescent="0.2">
      <c r="A4" s="7" t="s">
        <v>198</v>
      </c>
    </row>
    <row r="5" spans="1:1" x14ac:dyDescent="0.2">
      <c r="A5" s="7" t="s">
        <v>200</v>
      </c>
    </row>
    <row r="6" spans="1:1" x14ac:dyDescent="0.2">
      <c r="A6" s="7" t="s">
        <v>202</v>
      </c>
    </row>
    <row r="7" spans="1:1" x14ac:dyDescent="0.2">
      <c r="A7" s="7" t="s">
        <v>119</v>
      </c>
    </row>
    <row r="8" spans="1:1" x14ac:dyDescent="0.2">
      <c r="A8" s="7" t="s">
        <v>120</v>
      </c>
    </row>
    <row r="9" spans="1:1" x14ac:dyDescent="0.2">
      <c r="A9" s="7" t="s">
        <v>208</v>
      </c>
    </row>
    <row r="10" spans="1:1" x14ac:dyDescent="0.2">
      <c r="A10" s="7" t="s">
        <v>121</v>
      </c>
    </row>
    <row r="11" spans="1:1" x14ac:dyDescent="0.2">
      <c r="A11" s="7" t="s">
        <v>211</v>
      </c>
    </row>
    <row r="12" spans="1:1" x14ac:dyDescent="0.2">
      <c r="A12" s="7" t="s">
        <v>281</v>
      </c>
    </row>
    <row r="13" spans="1:1" x14ac:dyDescent="0.2">
      <c r="A13" s="7" t="s">
        <v>282</v>
      </c>
    </row>
    <row r="14" spans="1:1" x14ac:dyDescent="0.2">
      <c r="A14" s="7" t="s">
        <v>283</v>
      </c>
    </row>
    <row r="16" spans="1:1" x14ac:dyDescent="0.2">
      <c r="A16" s="7" t="s">
        <v>284</v>
      </c>
    </row>
    <row r="17" spans="1:1" x14ac:dyDescent="0.2">
      <c r="A17" s="7" t="s">
        <v>269</v>
      </c>
    </row>
    <row r="18" spans="1:1" x14ac:dyDescent="0.2">
      <c r="A18" s="7" t="s">
        <v>148</v>
      </c>
    </row>
    <row r="20" spans="1:1" x14ac:dyDescent="0.2">
      <c r="A20" s="7" t="s">
        <v>273</v>
      </c>
    </row>
    <row r="21" spans="1:1" x14ac:dyDescent="0.2">
      <c r="A21" s="7"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0"/>
  <sheetViews>
    <sheetView showGridLines="0" tabSelected="1" topLeftCell="A12" zoomScale="70" zoomScaleNormal="70" workbookViewId="0">
      <selection activeCell="B11" sqref="B11"/>
    </sheetView>
  </sheetViews>
  <sheetFormatPr baseColWidth="10" defaultColWidth="11.42578125" defaultRowHeight="16.5" x14ac:dyDescent="0.3"/>
  <cols>
    <col min="1" max="1" width="4.7109375" style="2" customWidth="1"/>
    <col min="2" max="2" width="12" style="2" customWidth="1"/>
    <col min="3" max="3" width="18.42578125" style="2" customWidth="1"/>
    <col min="4" max="4" width="14" style="2" customWidth="1"/>
    <col min="5" max="5" width="16.5703125" style="2" customWidth="1"/>
    <col min="6" max="6" width="15.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9.8554687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36" customWidth="1"/>
    <col min="38" max="38" width="16.7109375" style="1" customWidth="1"/>
    <col min="39" max="39" width="14.7109375" style="158" customWidth="1"/>
    <col min="40" max="40" width="49.28515625" style="158" customWidth="1"/>
    <col min="41" max="41" width="18.5703125" style="158" customWidth="1"/>
    <col min="42" max="42" width="19.28515625" style="1" bestFit="1" customWidth="1"/>
    <col min="43" max="44" width="50" style="1" customWidth="1"/>
    <col min="45" max="45" width="20.7109375" style="1" customWidth="1"/>
    <col min="46" max="46" width="15.42578125" style="1" customWidth="1"/>
    <col min="47" max="47" width="98.85546875" style="1" customWidth="1"/>
    <col min="48" max="48" width="17.28515625" style="1" customWidth="1"/>
    <col min="49" max="16384" width="11.42578125" style="1"/>
  </cols>
  <sheetData>
    <row r="1" spans="1:74" ht="33" customHeight="1" x14ac:dyDescent="0.3">
      <c r="A1" s="209" t="s">
        <v>60</v>
      </c>
      <c r="B1" s="209"/>
      <c r="C1" s="209"/>
      <c r="D1" s="209"/>
      <c r="E1" s="213" t="s">
        <v>61</v>
      </c>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02" t="s">
        <v>62</v>
      </c>
      <c r="AV1" s="202"/>
    </row>
    <row r="2" spans="1:74" ht="11.25" customHeight="1" x14ac:dyDescent="0.3">
      <c r="A2" s="209"/>
      <c r="B2" s="209"/>
      <c r="C2" s="209"/>
      <c r="D2" s="209"/>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02" t="s">
        <v>63</v>
      </c>
      <c r="AV2" s="202"/>
    </row>
    <row r="3" spans="1:74" ht="34.5" customHeight="1" x14ac:dyDescent="0.3">
      <c r="A3" s="209"/>
      <c r="B3" s="209"/>
      <c r="C3" s="209"/>
      <c r="D3" s="209"/>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02" t="s">
        <v>64</v>
      </c>
      <c r="AV3" s="202"/>
    </row>
    <row r="4" spans="1:74" ht="21.75" customHeight="1" x14ac:dyDescent="0.3">
      <c r="A4" s="209"/>
      <c r="B4" s="209"/>
      <c r="C4" s="209"/>
      <c r="D4" s="209"/>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02" t="s">
        <v>65</v>
      </c>
      <c r="AV4" s="202"/>
    </row>
    <row r="5" spans="1:74" ht="33" customHeight="1" x14ac:dyDescent="0.3">
      <c r="A5" s="225" t="s">
        <v>66</v>
      </c>
      <c r="B5" s="226"/>
      <c r="C5" s="204" t="s">
        <v>67</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6"/>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24.75" customHeight="1" x14ac:dyDescent="0.3">
      <c r="A6" s="225" t="s">
        <v>68</v>
      </c>
      <c r="B6" s="226"/>
      <c r="C6" s="207" t="s">
        <v>69</v>
      </c>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6"/>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36" customHeight="1" x14ac:dyDescent="0.3">
      <c r="A7" s="225" t="s">
        <v>70</v>
      </c>
      <c r="B7" s="226"/>
      <c r="C7" s="204" t="s">
        <v>71</v>
      </c>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6"/>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10" t="s">
        <v>72</v>
      </c>
      <c r="B8" s="210"/>
      <c r="C8" s="210"/>
      <c r="D8" s="210"/>
      <c r="E8" s="211"/>
      <c r="F8" s="211"/>
      <c r="G8" s="211"/>
      <c r="H8" s="211"/>
      <c r="I8" s="211"/>
      <c r="J8" s="211"/>
      <c r="K8" s="211"/>
      <c r="L8" s="211" t="s">
        <v>73</v>
      </c>
      <c r="M8" s="211"/>
      <c r="N8" s="211"/>
      <c r="O8" s="211"/>
      <c r="P8" s="211"/>
      <c r="Q8" s="211"/>
      <c r="R8" s="211"/>
      <c r="S8" s="211" t="s">
        <v>74</v>
      </c>
      <c r="T8" s="211"/>
      <c r="U8" s="211"/>
      <c r="V8" s="211"/>
      <c r="W8" s="211"/>
      <c r="X8" s="211"/>
      <c r="Y8" s="211"/>
      <c r="Z8" s="211"/>
      <c r="AA8" s="211"/>
      <c r="AB8" s="211"/>
      <c r="AC8" s="211" t="s">
        <v>75</v>
      </c>
      <c r="AD8" s="211"/>
      <c r="AE8" s="211"/>
      <c r="AF8" s="211"/>
      <c r="AG8" s="211"/>
      <c r="AH8" s="211"/>
      <c r="AI8" s="211"/>
      <c r="AJ8" s="223" t="s">
        <v>76</v>
      </c>
      <c r="AK8" s="224"/>
      <c r="AL8" s="224"/>
      <c r="AM8" s="224"/>
      <c r="AN8" s="224"/>
      <c r="AO8" s="224"/>
      <c r="AP8" s="224"/>
      <c r="AQ8" s="224"/>
      <c r="AR8" s="224"/>
      <c r="AS8" s="224"/>
      <c r="AT8" s="224"/>
      <c r="AU8" s="224"/>
      <c r="AV8" s="224"/>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12" t="s">
        <v>77</v>
      </c>
      <c r="B9" s="210" t="s">
        <v>78</v>
      </c>
      <c r="C9" s="210" t="s">
        <v>79</v>
      </c>
      <c r="D9" s="210" t="s">
        <v>15</v>
      </c>
      <c r="E9" s="203" t="s">
        <v>17</v>
      </c>
      <c r="F9" s="203" t="s">
        <v>19</v>
      </c>
      <c r="G9" s="210" t="s">
        <v>21</v>
      </c>
      <c r="H9" s="203" t="s">
        <v>23</v>
      </c>
      <c r="I9" s="203" t="s">
        <v>80</v>
      </c>
      <c r="J9" s="203" t="s">
        <v>81</v>
      </c>
      <c r="K9" s="203" t="s">
        <v>82</v>
      </c>
      <c r="L9" s="203" t="s">
        <v>83</v>
      </c>
      <c r="M9" s="210" t="s">
        <v>84</v>
      </c>
      <c r="N9" s="203" t="s">
        <v>85</v>
      </c>
      <c r="O9" s="203" t="s">
        <v>86</v>
      </c>
      <c r="P9" s="203" t="s">
        <v>87</v>
      </c>
      <c r="Q9" s="210" t="s">
        <v>84</v>
      </c>
      <c r="R9" s="203" t="s">
        <v>29</v>
      </c>
      <c r="S9" s="208" t="s">
        <v>88</v>
      </c>
      <c r="T9" s="203" t="s">
        <v>31</v>
      </c>
      <c r="U9" s="203" t="s">
        <v>89</v>
      </c>
      <c r="V9" s="203" t="s">
        <v>33</v>
      </c>
      <c r="W9" s="203" t="s">
        <v>90</v>
      </c>
      <c r="X9" s="203"/>
      <c r="Y9" s="203"/>
      <c r="Z9" s="203"/>
      <c r="AA9" s="203"/>
      <c r="AB9" s="203"/>
      <c r="AC9" s="208" t="s">
        <v>91</v>
      </c>
      <c r="AD9" s="208" t="s">
        <v>92</v>
      </c>
      <c r="AE9" s="208" t="s">
        <v>84</v>
      </c>
      <c r="AF9" s="208" t="s">
        <v>93</v>
      </c>
      <c r="AG9" s="208" t="s">
        <v>84</v>
      </c>
      <c r="AH9" s="208" t="s">
        <v>94</v>
      </c>
      <c r="AI9" s="208" t="s">
        <v>49</v>
      </c>
      <c r="AJ9" s="203" t="s">
        <v>76</v>
      </c>
      <c r="AK9" s="203" t="s">
        <v>95</v>
      </c>
      <c r="AL9" s="203" t="s">
        <v>96</v>
      </c>
      <c r="AM9" s="203" t="s">
        <v>97</v>
      </c>
      <c r="AN9" s="203" t="s">
        <v>98</v>
      </c>
      <c r="AO9" s="203" t="s">
        <v>53</v>
      </c>
      <c r="AP9" s="203" t="s">
        <v>97</v>
      </c>
      <c r="AQ9" s="203" t="s">
        <v>99</v>
      </c>
      <c r="AR9" s="227" t="s">
        <v>105</v>
      </c>
      <c r="AS9" s="203" t="s">
        <v>53</v>
      </c>
      <c r="AT9" s="203" t="s">
        <v>97</v>
      </c>
      <c r="AU9" s="203" t="s">
        <v>100</v>
      </c>
      <c r="AV9" s="203" t="s">
        <v>53</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38.25" customHeight="1" x14ac:dyDescent="0.25">
      <c r="A10" s="212"/>
      <c r="B10" s="210"/>
      <c r="C10" s="210"/>
      <c r="D10" s="210"/>
      <c r="E10" s="203"/>
      <c r="F10" s="203"/>
      <c r="G10" s="210"/>
      <c r="H10" s="203"/>
      <c r="I10" s="203"/>
      <c r="J10" s="203"/>
      <c r="K10" s="203"/>
      <c r="L10" s="203"/>
      <c r="M10" s="210"/>
      <c r="N10" s="203"/>
      <c r="O10" s="203"/>
      <c r="P10" s="210"/>
      <c r="Q10" s="210"/>
      <c r="R10" s="203"/>
      <c r="S10" s="208"/>
      <c r="T10" s="203"/>
      <c r="U10" s="203"/>
      <c r="V10" s="203"/>
      <c r="W10" s="135" t="s">
        <v>78</v>
      </c>
      <c r="X10" s="135" t="s">
        <v>101</v>
      </c>
      <c r="Y10" s="135" t="s">
        <v>102</v>
      </c>
      <c r="Z10" s="135" t="s">
        <v>103</v>
      </c>
      <c r="AA10" s="135" t="s">
        <v>104</v>
      </c>
      <c r="AB10" s="135" t="s">
        <v>105</v>
      </c>
      <c r="AC10" s="208"/>
      <c r="AD10" s="208"/>
      <c r="AE10" s="208"/>
      <c r="AF10" s="208"/>
      <c r="AG10" s="208"/>
      <c r="AH10" s="208"/>
      <c r="AI10" s="208"/>
      <c r="AJ10" s="203"/>
      <c r="AK10" s="203"/>
      <c r="AL10" s="203"/>
      <c r="AM10" s="203"/>
      <c r="AN10" s="203"/>
      <c r="AO10" s="203"/>
      <c r="AP10" s="203"/>
      <c r="AQ10" s="203"/>
      <c r="AR10" s="228"/>
      <c r="AS10" s="203"/>
      <c r="AT10" s="203"/>
      <c r="AU10" s="203"/>
      <c r="AV10" s="203"/>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s="150" customFormat="1" ht="280.5" x14ac:dyDescent="0.25">
      <c r="A11" s="116">
        <v>1</v>
      </c>
      <c r="B11" s="116" t="s">
        <v>106</v>
      </c>
      <c r="C11" s="137" t="s">
        <v>107</v>
      </c>
      <c r="D11" s="117" t="s">
        <v>108</v>
      </c>
      <c r="E11" s="138" t="s">
        <v>109</v>
      </c>
      <c r="F11" s="138" t="s">
        <v>110</v>
      </c>
      <c r="G11" s="138" t="s">
        <v>111</v>
      </c>
      <c r="H11" s="138" t="s">
        <v>112</v>
      </c>
      <c r="I11" s="117" t="s">
        <v>113</v>
      </c>
      <c r="J11" s="117" t="s">
        <v>114</v>
      </c>
      <c r="K11" s="118">
        <v>10</v>
      </c>
      <c r="L11" s="139" t="str">
        <f t="shared" ref="L11:L13" si="0">IF(K11&lt;=0,"",IF(K11&lt;=2,"Muy Baja",IF(K11&lt;=24,"Baja",IF(K11&lt;=500,"Media",IF(K11&lt;=5000,"Alta","Muy Alta")))))</f>
        <v>Baja</v>
      </c>
      <c r="M11" s="140">
        <f t="shared" ref="M11:M13" si="1">IF(L11="","",IF(L11="Muy Baja",0.2,IF(L11="Baja",0.4,IF(L11="Media",0.6,IF(L11="Alta",0.8,IF(L11="Muy Alta",1,))))))</f>
        <v>0.4</v>
      </c>
      <c r="N11" s="141" t="s">
        <v>115</v>
      </c>
      <c r="O11" s="140" t="str">
        <f>IF(NOT(ISERROR(MATCH(N11,'[1]Tabla Impacto'!$B$221:$B$223,0))),'[1]Tabla Impacto'!$F$223&amp;"Por favor no seleccionar los criterios de impacto(Afectación Económica o presupuestal y Pérdida Reputacional)",N11)</f>
        <v xml:space="preserve">     El riesgo afecta la imagen de la entidad con algunos usuarios de relevancia frente al logro de los objetivos</v>
      </c>
      <c r="P11" s="139" t="str">
        <f>IF(OR(O11='[1]Tabla Impacto'!$C$11,O11='[1]Tabla Impacto'!$D$11),"Leve",IF(OR(O11='[1]Tabla Impacto'!$C$12,O11='[1]Tabla Impacto'!$D$12),"Menor",IF(OR(O11='[1]Tabla Impacto'!$C$13,O11='[1]Tabla Impacto'!$D$13),"Moderado",IF(OR(O11='[1]Tabla Impacto'!$C$14,O11='[1]Tabla Impacto'!$D$14),"Mayor",IF(OR(O11='[1]Tabla Impacto'!$C$15,O11='[1]Tabla Impacto'!$D$15),"Catastrófico","")))))</f>
        <v>Moderado</v>
      </c>
      <c r="Q11" s="140">
        <f t="shared" ref="Q11:Q13" si="2">IF(P11="","",IF(P11="Leve",0.2,IF(P11="Menor",0.4,IF(P11="Moderado",0.6,IF(P11="Mayor",0.8,IF(P11="Catastrófico",1,))))))</f>
        <v>0.6</v>
      </c>
      <c r="R11" s="142" t="str">
        <f t="shared" ref="R11:R13" si="3">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16">
        <v>1</v>
      </c>
      <c r="T11" s="138" t="s">
        <v>116</v>
      </c>
      <c r="U11" s="138" t="s">
        <v>117</v>
      </c>
      <c r="V11" s="143" t="str">
        <f t="shared" ref="V11:V13" si="4">IF(OR(W11="Preventivo",W11="Detectivo"),"Probabilidad",IF(W11="Correctivo","Impacto",""))</f>
        <v>Probabilidad</v>
      </c>
      <c r="W11" s="144" t="s">
        <v>118</v>
      </c>
      <c r="X11" s="144" t="s">
        <v>119</v>
      </c>
      <c r="Y11" s="145" t="str">
        <f t="shared" ref="Y11:Y13" si="5">IF(AND(W11="Preventivo",X11="Automático"),"50%",IF(AND(W11="Preventivo",X11="Manual"),"40%",IF(AND(W11="Detectivo",X11="Automático"),"40%",IF(AND(W11="Detectivo",X11="Manual"),"30%",IF(AND(W11="Correctivo",X11="Automático"),"35%",IF(AND(W11="Correctivo",X11="Manual"),"25%",""))))))</f>
        <v>40%</v>
      </c>
      <c r="Z11" s="144" t="s">
        <v>120</v>
      </c>
      <c r="AA11" s="144" t="s">
        <v>121</v>
      </c>
      <c r="AB11" s="144" t="s">
        <v>122</v>
      </c>
      <c r="AC11" s="146">
        <f t="shared" ref="AC11:AC13" si="6">IFERROR(IF(V11="Probabilidad",(M11-(+M11*Y11)),IF(V11="Impacto",M11,"")),"")</f>
        <v>0.24</v>
      </c>
      <c r="AD11" s="147" t="str">
        <f t="shared" ref="AD11:AD13" si="7">IFERROR(IF(AC11="","",IF(AC11&lt;=0.2,"Muy Baja",IF(AC11&lt;=0.4,"Baja",IF(AC11&lt;=0.6,"Media",IF(AC11&lt;=0.8,"Alta","Muy Alta"))))),"")</f>
        <v>Baja</v>
      </c>
      <c r="AE11" s="145">
        <f t="shared" ref="AE11:AE13" si="8">+AC11</f>
        <v>0.24</v>
      </c>
      <c r="AF11" s="147" t="str">
        <f t="shared" ref="AF11:AF13" si="9">IFERROR(IF(AG11="","",IF(AG11&lt;=0.2,"Leve",IF(AG11&lt;=0.4,"Menor",IF(AG11&lt;=0.6,"Moderado",IF(AG11&lt;=0.8,"Mayor","Catastrófico"))))),"")</f>
        <v>Moderado</v>
      </c>
      <c r="AG11" s="145">
        <f t="shared" ref="AG11:AG13" si="10">IFERROR(IF(V11="Impacto",(Q11-(+Q11*Y11)),IF(V11="Probabilidad",Q11,"")),"")</f>
        <v>0.6</v>
      </c>
      <c r="AH11" s="148" t="str">
        <f t="shared" ref="AH11:AH13" si="11">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44" t="s">
        <v>123</v>
      </c>
      <c r="AJ11" s="117" t="s">
        <v>124</v>
      </c>
      <c r="AK11" s="117" t="s">
        <v>125</v>
      </c>
      <c r="AL11" s="119">
        <v>45291</v>
      </c>
      <c r="AM11" s="154" t="s">
        <v>126</v>
      </c>
      <c r="AN11" s="159" t="s">
        <v>127</v>
      </c>
      <c r="AO11" s="161" t="s">
        <v>128</v>
      </c>
      <c r="AP11" s="119">
        <v>45163</v>
      </c>
      <c r="AQ11" s="152" t="s">
        <v>286</v>
      </c>
      <c r="AR11" s="162" t="s">
        <v>285</v>
      </c>
      <c r="AS11" s="118" t="s">
        <v>128</v>
      </c>
      <c r="AT11" s="119">
        <v>45244</v>
      </c>
      <c r="AU11" s="152" t="s">
        <v>289</v>
      </c>
      <c r="AV11" s="118" t="s">
        <v>273</v>
      </c>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row>
    <row r="12" spans="1:74" s="150" customFormat="1" ht="181.5" x14ac:dyDescent="0.25">
      <c r="A12" s="116">
        <v>2</v>
      </c>
      <c r="B12" s="116" t="s">
        <v>106</v>
      </c>
      <c r="C12" s="137" t="s">
        <v>107</v>
      </c>
      <c r="D12" s="117" t="s">
        <v>129</v>
      </c>
      <c r="E12" s="138" t="s">
        <v>130</v>
      </c>
      <c r="F12" s="138" t="s">
        <v>131</v>
      </c>
      <c r="G12" s="153" t="s">
        <v>132</v>
      </c>
      <c r="H12" s="117" t="s">
        <v>112</v>
      </c>
      <c r="I12" s="117" t="s">
        <v>133</v>
      </c>
      <c r="J12" s="117" t="s">
        <v>134</v>
      </c>
      <c r="K12" s="118">
        <v>10</v>
      </c>
      <c r="L12" s="139" t="str">
        <f t="shared" si="0"/>
        <v>Baja</v>
      </c>
      <c r="M12" s="140">
        <f t="shared" si="1"/>
        <v>0.4</v>
      </c>
      <c r="N12" s="141" t="s">
        <v>115</v>
      </c>
      <c r="O12" s="140"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39"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40">
        <f t="shared" si="2"/>
        <v>0.6</v>
      </c>
      <c r="R12" s="142" t="str">
        <f t="shared" si="3"/>
        <v>Moderado</v>
      </c>
      <c r="S12" s="116">
        <v>2</v>
      </c>
      <c r="T12" s="138" t="s">
        <v>135</v>
      </c>
      <c r="U12" s="138" t="s">
        <v>136</v>
      </c>
      <c r="V12" s="143" t="str">
        <f t="shared" si="4"/>
        <v>Probabilidad</v>
      </c>
      <c r="W12" s="144" t="s">
        <v>118</v>
      </c>
      <c r="X12" s="144" t="s">
        <v>119</v>
      </c>
      <c r="Y12" s="145" t="str">
        <f t="shared" si="5"/>
        <v>40%</v>
      </c>
      <c r="Z12" s="144" t="s">
        <v>120</v>
      </c>
      <c r="AA12" s="144" t="s">
        <v>121</v>
      </c>
      <c r="AB12" s="144" t="s">
        <v>122</v>
      </c>
      <c r="AC12" s="146">
        <f t="shared" si="6"/>
        <v>0.24</v>
      </c>
      <c r="AD12" s="147" t="str">
        <f t="shared" si="7"/>
        <v>Baja</v>
      </c>
      <c r="AE12" s="145">
        <f t="shared" si="8"/>
        <v>0.24</v>
      </c>
      <c r="AF12" s="147" t="str">
        <f t="shared" si="9"/>
        <v>Moderado</v>
      </c>
      <c r="AG12" s="145">
        <f t="shared" si="10"/>
        <v>0.6</v>
      </c>
      <c r="AH12" s="148" t="str">
        <f t="shared" si="11"/>
        <v>Moderado</v>
      </c>
      <c r="AI12" s="144" t="s">
        <v>123</v>
      </c>
      <c r="AJ12" s="117" t="s">
        <v>137</v>
      </c>
      <c r="AK12" s="117" t="s">
        <v>138</v>
      </c>
      <c r="AL12" s="119">
        <v>45291</v>
      </c>
      <c r="AM12" s="154" t="s">
        <v>126</v>
      </c>
      <c r="AN12" s="159" t="s">
        <v>139</v>
      </c>
      <c r="AO12" s="161" t="s">
        <v>128</v>
      </c>
      <c r="AP12" s="119">
        <v>45163</v>
      </c>
      <c r="AQ12" s="152" t="s">
        <v>287</v>
      </c>
      <c r="AR12" s="162" t="s">
        <v>285</v>
      </c>
      <c r="AS12" s="118" t="s">
        <v>128</v>
      </c>
      <c r="AT12" s="119">
        <v>45244</v>
      </c>
      <c r="AU12" s="152" t="s">
        <v>290</v>
      </c>
      <c r="AV12" s="118" t="s">
        <v>273</v>
      </c>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row>
    <row r="13" spans="1:74" s="2" customFormat="1" ht="236.25" customHeight="1" x14ac:dyDescent="0.25">
      <c r="A13" s="116">
        <v>3</v>
      </c>
      <c r="B13" s="116" t="s">
        <v>140</v>
      </c>
      <c r="C13" s="137" t="s">
        <v>107</v>
      </c>
      <c r="D13" s="117" t="s">
        <v>108</v>
      </c>
      <c r="E13" s="138" t="s">
        <v>141</v>
      </c>
      <c r="F13" s="138" t="s">
        <v>142</v>
      </c>
      <c r="G13" s="138" t="s">
        <v>143</v>
      </c>
      <c r="H13" s="117" t="s">
        <v>112</v>
      </c>
      <c r="I13" s="117" t="s">
        <v>144</v>
      </c>
      <c r="J13" s="117" t="s">
        <v>145</v>
      </c>
      <c r="K13" s="118">
        <v>10</v>
      </c>
      <c r="L13" s="139" t="str">
        <f t="shared" si="0"/>
        <v>Baja</v>
      </c>
      <c r="M13" s="140">
        <f t="shared" si="1"/>
        <v>0.4</v>
      </c>
      <c r="N13" s="141" t="s">
        <v>115</v>
      </c>
      <c r="O13" s="140" t="str">
        <f>IF(NOT(ISERROR(MATCH(N13,_xlfn.ANCHORARRAY(#REF!),0))),#REF!&amp;"Por favor no seleccionar los criterios de impacto",N13)</f>
        <v xml:space="preserve">     El riesgo afecta la imagen de la entidad con algunos usuarios de relevancia frente al logro de los objetivos</v>
      </c>
      <c r="P13" s="139"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40">
        <f t="shared" si="2"/>
        <v>0.6</v>
      </c>
      <c r="R13" s="142" t="str">
        <f t="shared" si="3"/>
        <v>Moderado</v>
      </c>
      <c r="S13" s="116">
        <v>3</v>
      </c>
      <c r="T13" s="138" t="s">
        <v>146</v>
      </c>
      <c r="U13" s="138" t="s">
        <v>147</v>
      </c>
      <c r="V13" s="143" t="str">
        <f t="shared" si="4"/>
        <v>Probabilidad</v>
      </c>
      <c r="W13" s="144" t="s">
        <v>118</v>
      </c>
      <c r="X13" s="144" t="s">
        <v>119</v>
      </c>
      <c r="Y13" s="145" t="str">
        <f t="shared" si="5"/>
        <v>40%</v>
      </c>
      <c r="Z13" s="144" t="s">
        <v>120</v>
      </c>
      <c r="AA13" s="144" t="s">
        <v>121</v>
      </c>
      <c r="AB13" s="144" t="s">
        <v>122</v>
      </c>
      <c r="AC13" s="146">
        <f t="shared" si="6"/>
        <v>0.24</v>
      </c>
      <c r="AD13" s="147" t="str">
        <f t="shared" si="7"/>
        <v>Baja</v>
      </c>
      <c r="AE13" s="145">
        <f t="shared" si="8"/>
        <v>0.24</v>
      </c>
      <c r="AF13" s="147" t="str">
        <f t="shared" si="9"/>
        <v>Moderado</v>
      </c>
      <c r="AG13" s="145">
        <f t="shared" si="10"/>
        <v>0.6</v>
      </c>
      <c r="AH13" s="148" t="str">
        <f t="shared" si="11"/>
        <v>Moderado</v>
      </c>
      <c r="AI13" s="144" t="s">
        <v>148</v>
      </c>
      <c r="AJ13" s="117" t="s">
        <v>149</v>
      </c>
      <c r="AK13" s="117" t="s">
        <v>150</v>
      </c>
      <c r="AL13" s="119">
        <v>45291</v>
      </c>
      <c r="AM13" s="154" t="s">
        <v>126</v>
      </c>
      <c r="AN13" s="159" t="s">
        <v>151</v>
      </c>
      <c r="AO13" s="161" t="s">
        <v>152</v>
      </c>
      <c r="AP13" s="119">
        <v>45163</v>
      </c>
      <c r="AQ13" s="152" t="s">
        <v>288</v>
      </c>
      <c r="AR13" s="162" t="s">
        <v>285</v>
      </c>
      <c r="AS13" s="118" t="s">
        <v>128</v>
      </c>
      <c r="AT13" s="119">
        <v>45244</v>
      </c>
      <c r="AU13" s="152" t="s">
        <v>291</v>
      </c>
      <c r="AV13" s="118" t="s">
        <v>273</v>
      </c>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row>
    <row r="14" spans="1:74" ht="49.5" customHeight="1" x14ac:dyDescent="0.3">
      <c r="A14" s="115"/>
      <c r="B14" s="134"/>
      <c r="C14" s="134"/>
      <c r="D14" s="214" t="s">
        <v>153</v>
      </c>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6"/>
    </row>
    <row r="16" spans="1:74" x14ac:dyDescent="0.3">
      <c r="A16" s="120"/>
      <c r="B16" s="121"/>
      <c r="C16" s="121"/>
      <c r="D16" s="121"/>
      <c r="E16" s="121"/>
      <c r="F16" s="121"/>
      <c r="G16" s="121"/>
      <c r="H16" s="1"/>
      <c r="I16" s="1"/>
      <c r="J16" s="1"/>
      <c r="L16" s="124"/>
      <c r="M16" s="121"/>
      <c r="N16" s="121"/>
      <c r="O16" s="121"/>
      <c r="P16" s="121"/>
      <c r="Q16" s="121"/>
      <c r="R16" s="121"/>
      <c r="S16" s="121"/>
      <c r="T16" s="121"/>
      <c r="U16" s="121"/>
      <c r="V16" s="125"/>
      <c r="W16" s="125"/>
      <c r="X16" s="121"/>
      <c r="Y16" s="121"/>
      <c r="Z16" s="121"/>
      <c r="AA16" s="121"/>
      <c r="AB16" s="121"/>
      <c r="AC16" s="121"/>
      <c r="AD16" s="121"/>
      <c r="AE16" s="121"/>
      <c r="AF16" s="121"/>
      <c r="AG16" s="121"/>
      <c r="AH16" s="121"/>
      <c r="AI16" s="126"/>
      <c r="AJ16" s="126"/>
      <c r="AK16" s="121"/>
      <c r="AL16" s="121"/>
      <c r="AM16" s="155"/>
      <c r="AN16" s="155"/>
      <c r="AO16" s="155"/>
      <c r="AP16" s="121"/>
      <c r="AQ16" s="121"/>
      <c r="AR16" s="121"/>
    </row>
    <row r="17" spans="1:44" ht="18" x14ac:dyDescent="0.3">
      <c r="A17" s="217" t="s">
        <v>154</v>
      </c>
      <c r="B17" s="217"/>
      <c r="C17" s="217"/>
      <c r="D17" s="217"/>
      <c r="E17" s="217"/>
      <c r="F17" s="217"/>
      <c r="G17" s="217"/>
      <c r="H17" s="1"/>
      <c r="I17" s="1"/>
      <c r="J17" s="1"/>
      <c r="K17" s="220" t="s">
        <v>292</v>
      </c>
      <c r="L17" s="221"/>
      <c r="M17" s="221"/>
      <c r="N17" s="222"/>
      <c r="O17" s="121"/>
      <c r="P17" s="121"/>
      <c r="Q17" s="121"/>
      <c r="R17" s="121"/>
      <c r="S17" s="121"/>
      <c r="T17" s="121"/>
      <c r="U17" s="126"/>
      <c r="V17" s="125"/>
      <c r="W17" s="125"/>
      <c r="X17" s="121"/>
      <c r="Y17" s="125"/>
      <c r="Z17" s="125"/>
      <c r="AA17" s="121"/>
      <c r="AB17" s="121"/>
      <c r="AC17" s="121"/>
      <c r="AD17" s="121"/>
      <c r="AE17" s="121"/>
      <c r="AF17" s="121"/>
      <c r="AG17" s="121"/>
      <c r="AH17" s="121"/>
      <c r="AI17" s="121"/>
      <c r="AJ17" s="121"/>
      <c r="AK17" s="121"/>
      <c r="AL17" s="121"/>
      <c r="AM17" s="155"/>
      <c r="AN17" s="155"/>
      <c r="AO17" s="155"/>
      <c r="AP17" s="121"/>
      <c r="AQ17" s="121"/>
      <c r="AR17" s="121"/>
    </row>
    <row r="18" spans="1:44" ht="17.25" thickBot="1" x14ac:dyDescent="0.35">
      <c r="A18"/>
      <c r="B18"/>
      <c r="C18"/>
      <c r="D18"/>
      <c r="E18"/>
      <c r="F18"/>
      <c r="G18"/>
      <c r="H18" s="1"/>
      <c r="I18" s="1"/>
      <c r="J18" s="1"/>
      <c r="L18" s="122" t="str">
        <f>+IFERROR(VLOOKUP(H18,$H$173:$L$177,3,FALSE)*VLOOKUP(K18,$K$173:$L$177,3,FALSE),"")</f>
        <v/>
      </c>
      <c r="M18"/>
      <c r="N18"/>
      <c r="O18"/>
      <c r="P18"/>
      <c r="Q18"/>
      <c r="R18"/>
      <c r="S18"/>
      <c r="T18"/>
      <c r="U18"/>
      <c r="V18" s="122"/>
      <c r="W18" s="123"/>
      <c r="X18"/>
      <c r="Y18" s="123"/>
      <c r="Z18" s="123"/>
      <c r="AA18" s="129"/>
      <c r="AB18" s="129"/>
      <c r="AC18" s="129"/>
      <c r="AD18" s="129"/>
      <c r="AE18" s="127"/>
      <c r="AF18" s="127"/>
      <c r="AG18" s="129"/>
      <c r="AH18" s="130"/>
      <c r="AI18"/>
      <c r="AJ18"/>
      <c r="AK18" s="129"/>
      <c r="AL18" s="129"/>
      <c r="AM18" s="156"/>
      <c r="AN18" s="160"/>
      <c r="AO18" s="156"/>
      <c r="AP18" s="129"/>
      <c r="AQ18"/>
      <c r="AR18"/>
    </row>
    <row r="19" spans="1:44" ht="17.45" customHeight="1" thickTop="1" thickBot="1" x14ac:dyDescent="0.35">
      <c r="A19" s="218" t="s">
        <v>155</v>
      </c>
      <c r="B19" s="218"/>
      <c r="C19" s="218"/>
      <c r="D19" s="218"/>
      <c r="E19" s="218"/>
      <c r="F19" s="218"/>
      <c r="G19" s="132" t="s">
        <v>156</v>
      </c>
      <c r="H19" s="218" t="s">
        <v>157</v>
      </c>
      <c r="I19" s="218"/>
      <c r="J19" s="218"/>
      <c r="K19" s="218"/>
      <c r="L19" s="218"/>
      <c r="M19" s="218"/>
      <c r="N19" s="218"/>
      <c r="O19" s="133"/>
      <c r="P19" s="219" t="s">
        <v>158</v>
      </c>
      <c r="Q19" s="219"/>
      <c r="R19" s="219"/>
      <c r="S19" s="218" t="s">
        <v>159</v>
      </c>
      <c r="T19" s="218"/>
      <c r="U19" s="218"/>
      <c r="V19" s="218"/>
      <c r="W19" s="219">
        <v>1</v>
      </c>
      <c r="X19" s="219"/>
      <c r="Y19" s="219"/>
      <c r="Z19" s="219"/>
      <c r="AA19" s="131"/>
      <c r="AB19" s="131"/>
      <c r="AC19" s="131"/>
      <c r="AD19" s="131"/>
      <c r="AE19" s="131"/>
      <c r="AF19" s="131"/>
      <c r="AG19" s="131"/>
      <c r="AH19" s="131"/>
      <c r="AI19" s="131"/>
      <c r="AJ19" s="131"/>
      <c r="AK19" s="131"/>
      <c r="AL19" s="131"/>
      <c r="AM19" s="157"/>
      <c r="AN19" s="157"/>
      <c r="AO19" s="157"/>
      <c r="AP19" s="131"/>
      <c r="AQ19" s="128"/>
      <c r="AR19" s="128"/>
    </row>
    <row r="20" spans="1:44" ht="17.25" thickTop="1" x14ac:dyDescent="0.3"/>
  </sheetData>
  <dataConsolidate/>
  <mergeCells count="68">
    <mergeCell ref="AJ8:AV8"/>
    <mergeCell ref="AS9:AS10"/>
    <mergeCell ref="AT9:AT10"/>
    <mergeCell ref="AU9:AU10"/>
    <mergeCell ref="A5:B5"/>
    <mergeCell ref="A6:B6"/>
    <mergeCell ref="A7:B7"/>
    <mergeCell ref="A8:K8"/>
    <mergeCell ref="L8:R8"/>
    <mergeCell ref="S8:AB8"/>
    <mergeCell ref="S9:S10"/>
    <mergeCell ref="T9:T10"/>
    <mergeCell ref="B9:B10"/>
    <mergeCell ref="V9:V10"/>
    <mergeCell ref="AR9:AR10"/>
    <mergeCell ref="S19:V19"/>
    <mergeCell ref="W19:Z19"/>
    <mergeCell ref="A19:F19"/>
    <mergeCell ref="K17:N17"/>
    <mergeCell ref="H19:N19"/>
    <mergeCell ref="P19:R19"/>
    <mergeCell ref="D14:AO14"/>
    <mergeCell ref="A17:G17"/>
    <mergeCell ref="G9:G10"/>
    <mergeCell ref="F9:F10"/>
    <mergeCell ref="E9:E10"/>
    <mergeCell ref="D9:D10"/>
    <mergeCell ref="R9:R10"/>
    <mergeCell ref="N9:N10"/>
    <mergeCell ref="O9:O10"/>
    <mergeCell ref="AO9:AO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P9:AP10"/>
    <mergeCell ref="AQ9:AQ10"/>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s>
  <conditionalFormatting sqref="L11:L13 AD11:AD13">
    <cfRule type="cellIs" dxfId="23" priority="72" operator="equal">
      <formula>"Muy Alta"</formula>
    </cfRule>
    <cfRule type="cellIs" dxfId="22" priority="73" operator="equal">
      <formula>"Alta"</formula>
    </cfRule>
    <cfRule type="cellIs" dxfId="21" priority="74" operator="equal">
      <formula>"Media"</formula>
    </cfRule>
    <cfRule type="cellIs" dxfId="20" priority="75" operator="equal">
      <formula>"Baja"</formula>
    </cfRule>
    <cfRule type="cellIs" dxfId="19" priority="76" operator="equal">
      <formula>"Muy Baja"</formula>
    </cfRule>
  </conditionalFormatting>
  <conditionalFormatting sqref="O11:O13">
    <cfRule type="containsText" dxfId="18" priority="58" operator="containsText" text="❌">
      <formula>NOT(ISERROR(SEARCH("❌",O11)))</formula>
    </cfRule>
  </conditionalFormatting>
  <conditionalFormatting sqref="P11:P13 AF11:AF13">
    <cfRule type="cellIs" dxfId="17" priority="67" operator="equal">
      <formula>"Catastrófico"</formula>
    </cfRule>
    <cfRule type="cellIs" dxfId="16" priority="68" operator="equal">
      <formula>"Mayor"</formula>
    </cfRule>
    <cfRule type="cellIs" dxfId="15" priority="69" operator="equal">
      <formula>"Moderado"</formula>
    </cfRule>
    <cfRule type="cellIs" dxfId="14" priority="70" operator="equal">
      <formula>"Menor"</formula>
    </cfRule>
    <cfRule type="cellIs" dxfId="13" priority="71" operator="equal">
      <formula>"Leve"</formula>
    </cfRule>
  </conditionalFormatting>
  <conditionalFormatting sqref="R11:R13">
    <cfRule type="cellIs" dxfId="12" priority="59" operator="equal">
      <formula>"Extremo"</formula>
    </cfRule>
    <cfRule type="cellIs" dxfId="11" priority="60" operator="equal">
      <formula>"Alto"</formula>
    </cfRule>
    <cfRule type="cellIs" dxfId="10" priority="61" operator="equal">
      <formula>"Moderado"</formula>
    </cfRule>
    <cfRule type="cellIs" dxfId="9" priority="62" operator="equal">
      <formula>"Bajo"</formula>
    </cfRule>
  </conditionalFormatting>
  <conditionalFormatting sqref="AE16:AE18">
    <cfRule type="cellIs" dxfId="8" priority="97" operator="equal">
      <formula>#REF!</formula>
    </cfRule>
    <cfRule type="cellIs" dxfId="7" priority="98" operator="equal">
      <formula>#REF!</formula>
    </cfRule>
  </conditionalFormatting>
  <conditionalFormatting sqref="AE16:AF18">
    <cfRule type="cellIs" dxfId="6" priority="96" stopIfTrue="1" operator="equal">
      <formula>#REF!</formula>
    </cfRule>
  </conditionalFormatting>
  <conditionalFormatting sqref="AF16:AF18">
    <cfRule type="cellIs" dxfId="5" priority="100" stopIfTrue="1" operator="equal">
      <formula>#REF!</formula>
    </cfRule>
    <cfRule type="cellIs" dxfId="4" priority="101" stopIfTrue="1" operator="equal">
      <formula>#REF!</formula>
    </cfRule>
  </conditionalFormatting>
  <conditionalFormatting sqref="AH11:AH13">
    <cfRule type="cellIs" dxfId="3" priority="63" operator="equal">
      <formula>"Extremo"</formula>
    </cfRule>
    <cfRule type="cellIs" dxfId="2" priority="64" operator="equal">
      <formula>"Alto"</formula>
    </cfRule>
    <cfRule type="cellIs" dxfId="1" priority="65" operator="equal">
      <formula>"Moderado"</formula>
    </cfRule>
    <cfRule type="cellIs" dxfId="0" priority="66" operator="equal">
      <formula>"Bajo"</formula>
    </cfRule>
  </conditionalFormatting>
  <dataValidations count="7">
    <dataValidation type="list" allowBlank="1" showInputMessage="1" showErrorMessage="1" sqref="G16" xr:uid="{00000000-0002-0000-0100-000000000000}">
      <formula1>$G$173:$G$182</formula1>
    </dataValidation>
    <dataValidation type="list" allowBlank="1" showInputMessage="1" showErrorMessage="1" sqref="G18 AE18:AF18" xr:uid="{00000000-0002-0000-0100-000001000000}">
      <formula1>#REF!</formula1>
    </dataValidation>
    <dataValidation type="list" allowBlank="1" showInputMessage="1" showErrorMessage="1" sqref="V18" xr:uid="{00000000-0002-0000-0100-000002000000}">
      <formula1>$N$173:$N$174</formula1>
    </dataValidation>
    <dataValidation type="list" allowBlank="1" showInputMessage="1" showErrorMessage="1" sqref="K18" xr:uid="{00000000-0002-0000-0100-000003000000}">
      <formula1>$K$173:$K$177</formula1>
    </dataValidation>
    <dataValidation type="list" allowBlank="1" showInputMessage="1" showErrorMessage="1" sqref="H18:J18" xr:uid="{00000000-0002-0000-0100-000004000000}">
      <formula1>$H$173:$H$177</formula1>
    </dataValidation>
    <dataValidation type="list" allowBlank="1" showInputMessage="1" showErrorMessage="1" sqref="AP18 Y18:AD18 W18 AL18 AN18" xr:uid="{00000000-0002-0000-0100-000005000000}">
      <formula1>$AL$173:$AL$180</formula1>
    </dataValidation>
    <dataValidation allowBlank="1" showInputMessage="1" showErrorMessage="1" error="Recuerde que las acciones se generan bajo la medida de mitigar el riesgo" sqref="AN13" xr:uid="{00000000-0002-0000-0100-000006000000}"/>
  </dataValidations>
  <hyperlinks>
    <hyperlink ref="AR11" r:id="rId1" xr:uid="{00000000-0004-0000-0100-000000000000}"/>
    <hyperlink ref="AR12" r:id="rId2" xr:uid="{00000000-0004-0000-0100-000001000000}"/>
    <hyperlink ref="AR13" r:id="rId3" xr:uid="{00000000-0004-0000-01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7000000}">
          <x14:formula1>
            <xm:f>'Opciones Tratamiento'!$B$9:$B$10</xm:f>
          </x14:formula1>
          <xm:sqref>AO11:AO13 AV11:AV13 AS11:AS13</xm:sqref>
        </x14:dataValidation>
        <x14:dataValidation type="list" allowBlank="1" showInputMessage="1" showErrorMessage="1" xr:uid="{00000000-0002-0000-0100-000008000000}">
          <x14:formula1>
            <xm:f>Listas!$A$2:$A$9</xm:f>
          </x14:formula1>
          <xm:sqref>B11:B13</xm:sqref>
        </x14:dataValidation>
        <x14:dataValidation type="list" allowBlank="1" showInputMessage="1" showErrorMessage="1" xr:uid="{00000000-0002-0000-0100-000009000000}">
          <x14:formula1>
            <xm:f>Listas!$B$2:$B$7</xm:f>
          </x14:formula1>
          <xm:sqref>C11:C13</xm:sqref>
        </x14:dataValidation>
        <x14:dataValidation type="list" allowBlank="1" showInputMessage="1" showErrorMessage="1" xr:uid="{00000000-0002-0000-0100-00000A000000}">
          <x14:formula1>
            <xm:f>Listas!$C$2:$C$6</xm:f>
          </x14:formula1>
          <xm:sqref>I11:I13</xm:sqref>
        </x14:dataValidation>
        <x14:dataValidation type="list" allowBlank="1" showInputMessage="1" showErrorMessage="1" xr:uid="{00000000-0002-0000-0100-00000B000000}">
          <x14:formula1>
            <xm:f>Listas!$D$2:$D$5</xm:f>
          </x14:formula1>
          <xm:sqref>J11:J13</xm:sqref>
        </x14:dataValidation>
        <x14:dataValidation type="custom" allowBlank="1" showInputMessage="1" showErrorMessage="1" error="Recuerde que las acciones se generan bajo la medida de mitigar el riesgo" xr:uid="{00000000-0002-0000-0100-00000C000000}">
          <x14:formula1>
            <xm:f>IF(OR(AI11='Opciones Tratamiento'!$B$2,AI11='Opciones Tratamiento'!$B$3,AI11='Opciones Tratamiento'!$B$4),ISBLANK(AI11),ISTEXT(AI11))</xm:f>
          </x14:formula1>
          <xm:sqref>AM11:AM13</xm:sqref>
        </x14:dataValidation>
        <x14:dataValidation type="custom" allowBlank="1" showInputMessage="1" showErrorMessage="1" error="Recuerde que las acciones se generan bajo la medida de mitigar el riesgo" xr:uid="{00000000-0002-0000-0100-00000D000000}">
          <x14:formula1>
            <xm:f>IF(OR(AI11='Opciones Tratamiento'!$B$2,AI11='Opciones Tratamiento'!$B$3,AI11='Opciones Tratamiento'!$B$4),ISBLANK(AI11),ISTEXT(AI11))</xm:f>
          </x14:formula1>
          <xm:sqref>AN11:AN12 AT11:AT13</xm:sqref>
        </x14:dataValidation>
        <x14:dataValidation type="custom" allowBlank="1" showInputMessage="1" showErrorMessage="1" error="Recuerde que las acciones se generan bajo la medida de mitigar el riesgo" xr:uid="{00000000-0002-0000-0100-00000E000000}">
          <x14:formula1>
            <xm:f>IF(OR(AO11='Opciones Tratamiento'!$B$2,AO11='Opciones Tratamiento'!$B$3,AO11='Opciones Tratamiento'!$B$4),ISBLANK(AO11),ISTEXT(AO11))</xm:f>
          </x14:formula1>
          <xm:sqref>AU11:AU13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160</v>
      </c>
      <c r="B1" t="s">
        <v>79</v>
      </c>
      <c r="C1" t="s">
        <v>161</v>
      </c>
      <c r="D1" t="s">
        <v>162</v>
      </c>
    </row>
    <row r="2" spans="1:4" x14ac:dyDescent="0.25">
      <c r="A2" t="s">
        <v>163</v>
      </c>
      <c r="B2" t="s">
        <v>164</v>
      </c>
      <c r="C2" t="s">
        <v>165</v>
      </c>
      <c r="D2" t="s">
        <v>166</v>
      </c>
    </row>
    <row r="3" spans="1:4" x14ac:dyDescent="0.25">
      <c r="A3" t="s">
        <v>140</v>
      </c>
      <c r="B3" t="s">
        <v>167</v>
      </c>
      <c r="C3" t="s">
        <v>144</v>
      </c>
      <c r="D3" t="s">
        <v>134</v>
      </c>
    </row>
    <row r="4" spans="1:4" x14ac:dyDescent="0.25">
      <c r="A4" t="s">
        <v>168</v>
      </c>
      <c r="B4" t="s">
        <v>169</v>
      </c>
      <c r="C4" t="s">
        <v>113</v>
      </c>
      <c r="D4" t="s">
        <v>145</v>
      </c>
    </row>
    <row r="5" spans="1:4" x14ac:dyDescent="0.25">
      <c r="A5" t="s">
        <v>167</v>
      </c>
      <c r="B5" t="s">
        <v>170</v>
      </c>
      <c r="C5" t="s">
        <v>133</v>
      </c>
      <c r="D5" t="s">
        <v>114</v>
      </c>
    </row>
    <row r="6" spans="1:4" x14ac:dyDescent="0.25">
      <c r="A6" t="s">
        <v>106</v>
      </c>
      <c r="B6" t="s">
        <v>107</v>
      </c>
      <c r="C6" t="s">
        <v>114</v>
      </c>
    </row>
    <row r="7" spans="1:4" x14ac:dyDescent="0.25">
      <c r="A7" t="s">
        <v>171</v>
      </c>
      <c r="B7" t="s">
        <v>172</v>
      </c>
    </row>
    <row r="8" spans="1:4" x14ac:dyDescent="0.25">
      <c r="A8" t="s">
        <v>173</v>
      </c>
    </row>
    <row r="9" spans="1:4" x14ac:dyDescent="0.25">
      <c r="A9" t="s">
        <v>174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29" t="s">
        <v>175</v>
      </c>
      <c r="C2" s="229"/>
      <c r="D2" s="229"/>
      <c r="E2" s="229"/>
      <c r="F2" s="229"/>
      <c r="G2" s="229"/>
      <c r="H2" s="229"/>
      <c r="I2" s="229"/>
      <c r="J2" s="266" t="s">
        <v>15</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29"/>
      <c r="C3" s="229"/>
      <c r="D3" s="229"/>
      <c r="E3" s="229"/>
      <c r="F3" s="229"/>
      <c r="G3" s="229"/>
      <c r="H3" s="229"/>
      <c r="I3" s="229"/>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29"/>
      <c r="C4" s="229"/>
      <c r="D4" s="229"/>
      <c r="E4" s="229"/>
      <c r="F4" s="229"/>
      <c r="G4" s="229"/>
      <c r="H4" s="229"/>
      <c r="I4" s="229"/>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77" t="s">
        <v>176</v>
      </c>
      <c r="C6" s="277"/>
      <c r="D6" s="278"/>
      <c r="E6" s="267" t="s">
        <v>177</v>
      </c>
      <c r="F6" s="268"/>
      <c r="G6" s="268"/>
      <c r="H6" s="268"/>
      <c r="I6" s="269"/>
      <c r="J6" s="263" t="e">
        <f>IF(AND('Mapa final'!#REF!="Muy Alta",'Mapa final'!#REF!="Leve"),CONCATENATE("R",'Mapa final'!#REF!),"")</f>
        <v>#REF!</v>
      </c>
      <c r="K6" s="264"/>
      <c r="L6" s="264" t="str">
        <f>IF(AND('Mapa final'!$L$11="Muy Alta",'Mapa final'!$P$11="Leve"),CONCATENATE("R",'Mapa final'!$A$11),"")</f>
        <v/>
      </c>
      <c r="M6" s="264"/>
      <c r="N6" s="264" t="e">
        <f>IF(AND('Mapa final'!#REF!="Muy Alta",'Mapa final'!#REF!="Leve"),CONCATENATE("R",'Mapa final'!#REF!),"")</f>
        <v>#REF!</v>
      </c>
      <c r="O6" s="265"/>
      <c r="P6" s="263" t="e">
        <f>IF(AND('Mapa final'!#REF!="Muy Alta",'Mapa final'!#REF!="Menor"),CONCATENATE("R",'Mapa final'!#REF!),"")</f>
        <v>#REF!</v>
      </c>
      <c r="Q6" s="264"/>
      <c r="R6" s="264" t="str">
        <f>IF(AND('Mapa final'!$L$11="Muy Alta",'Mapa final'!$P$11="Menor"),CONCATENATE("R",'Mapa final'!$A$11),"")</f>
        <v/>
      </c>
      <c r="S6" s="264"/>
      <c r="T6" s="264" t="e">
        <f>IF(AND('Mapa final'!#REF!="Muy Alta",'Mapa final'!#REF!="Menor"),CONCATENATE("R",'Mapa final'!#REF!),"")</f>
        <v>#REF!</v>
      </c>
      <c r="U6" s="265"/>
      <c r="V6" s="263" t="e">
        <f>IF(AND('Mapa final'!#REF!="Muy Alta",'Mapa final'!#REF!="Moderado"),CONCATENATE("R",'Mapa final'!#REF!),"")</f>
        <v>#REF!</v>
      </c>
      <c r="W6" s="264"/>
      <c r="X6" s="264" t="str">
        <f>IF(AND('Mapa final'!$L$11="Muy Alta",'Mapa final'!$P$11="Moderado"),CONCATENATE("R",'Mapa final'!$A$11),"")</f>
        <v/>
      </c>
      <c r="Y6" s="264"/>
      <c r="Z6" s="264" t="e">
        <f>IF(AND('Mapa final'!#REF!="Muy Alta",'Mapa final'!#REF!="Moderado"),CONCATENATE("R",'Mapa final'!#REF!),"")</f>
        <v>#REF!</v>
      </c>
      <c r="AA6" s="265"/>
      <c r="AB6" s="263" t="e">
        <f>IF(AND('Mapa final'!#REF!="Muy Alta",'Mapa final'!#REF!="Mayor"),CONCATENATE("R",'Mapa final'!#REF!),"")</f>
        <v>#REF!</v>
      </c>
      <c r="AC6" s="264"/>
      <c r="AD6" s="264" t="str">
        <f>IF(AND('Mapa final'!$L$11="Muy Alta",'Mapa final'!$P$11="Mayor"),CONCATENATE("R",'Mapa final'!$A$11),"")</f>
        <v/>
      </c>
      <c r="AE6" s="264"/>
      <c r="AF6" s="264" t="e">
        <f>IF(AND('Mapa final'!#REF!="Muy Alta",'Mapa final'!#REF!="Mayor"),CONCATENATE("R",'Mapa final'!#REF!),"")</f>
        <v>#REF!</v>
      </c>
      <c r="AG6" s="265"/>
      <c r="AH6" s="254" t="e">
        <f>IF(AND('Mapa final'!#REF!="Muy Alta",'Mapa final'!#REF!="Catastrófico"),CONCATENATE("R",'Mapa final'!#REF!),"")</f>
        <v>#REF!</v>
      </c>
      <c r="AI6" s="255"/>
      <c r="AJ6" s="255" t="str">
        <f>IF(AND('Mapa final'!$L$11="Muy Alta",'Mapa final'!$P$11="Catastrófico"),CONCATENATE("R",'Mapa final'!$A$11),"")</f>
        <v/>
      </c>
      <c r="AK6" s="255"/>
      <c r="AL6" s="255" t="e">
        <f>IF(AND('Mapa final'!#REF!="Muy Alta",'Mapa final'!#REF!="Catastrófico"),CONCATENATE("R",'Mapa final'!#REF!),"")</f>
        <v>#REF!</v>
      </c>
      <c r="AM6" s="256"/>
      <c r="AO6" s="279" t="s">
        <v>178</v>
      </c>
      <c r="AP6" s="280"/>
      <c r="AQ6" s="280"/>
      <c r="AR6" s="280"/>
      <c r="AS6" s="280"/>
      <c r="AT6" s="28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77"/>
      <c r="C7" s="277"/>
      <c r="D7" s="278"/>
      <c r="E7" s="270"/>
      <c r="F7" s="271"/>
      <c r="G7" s="271"/>
      <c r="H7" s="271"/>
      <c r="I7" s="272"/>
      <c r="J7" s="257"/>
      <c r="K7" s="258"/>
      <c r="L7" s="258"/>
      <c r="M7" s="258"/>
      <c r="N7" s="258"/>
      <c r="O7" s="259"/>
      <c r="P7" s="257"/>
      <c r="Q7" s="258"/>
      <c r="R7" s="258"/>
      <c r="S7" s="258"/>
      <c r="T7" s="258"/>
      <c r="U7" s="259"/>
      <c r="V7" s="257"/>
      <c r="W7" s="258"/>
      <c r="X7" s="258"/>
      <c r="Y7" s="258"/>
      <c r="Z7" s="258"/>
      <c r="AA7" s="259"/>
      <c r="AB7" s="257"/>
      <c r="AC7" s="258"/>
      <c r="AD7" s="258"/>
      <c r="AE7" s="258"/>
      <c r="AF7" s="258"/>
      <c r="AG7" s="259"/>
      <c r="AH7" s="248"/>
      <c r="AI7" s="249"/>
      <c r="AJ7" s="249"/>
      <c r="AK7" s="249"/>
      <c r="AL7" s="249"/>
      <c r="AM7" s="250"/>
      <c r="AN7" s="75"/>
      <c r="AO7" s="282"/>
      <c r="AP7" s="283"/>
      <c r="AQ7" s="283"/>
      <c r="AR7" s="283"/>
      <c r="AS7" s="283"/>
      <c r="AT7" s="28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77"/>
      <c r="C8" s="277"/>
      <c r="D8" s="278"/>
      <c r="E8" s="270"/>
      <c r="F8" s="271"/>
      <c r="G8" s="271"/>
      <c r="H8" s="271"/>
      <c r="I8" s="272"/>
      <c r="J8" s="257" t="e">
        <f>IF(AND('Mapa final'!#REF!="Muy Alta",'Mapa final'!#REF!="Leve"),CONCATENATE("R",'Mapa final'!#REF!),"")</f>
        <v>#REF!</v>
      </c>
      <c r="K8" s="258"/>
      <c r="L8" s="258" t="e">
        <f>IF(AND('Mapa final'!#REF!="Muy Alta",'Mapa final'!#REF!="Leve"),CONCATENATE("R",'Mapa final'!#REF!),"")</f>
        <v>#REF!</v>
      </c>
      <c r="M8" s="258"/>
      <c r="N8" s="258" t="e">
        <f>IF(AND('Mapa final'!#REF!="Muy Alta",'Mapa final'!#REF!="Leve"),CONCATENATE("R",'Mapa final'!#REF!),"")</f>
        <v>#REF!</v>
      </c>
      <c r="O8" s="259"/>
      <c r="P8" s="257" t="e">
        <f>IF(AND('Mapa final'!#REF!="Muy Alta",'Mapa final'!#REF!="Menor"),CONCATENATE("R",'Mapa final'!#REF!),"")</f>
        <v>#REF!</v>
      </c>
      <c r="Q8" s="258"/>
      <c r="R8" s="258" t="e">
        <f>IF(AND('Mapa final'!#REF!="Muy Alta",'Mapa final'!#REF!="Menor"),CONCATENATE("R",'Mapa final'!#REF!),"")</f>
        <v>#REF!</v>
      </c>
      <c r="S8" s="258"/>
      <c r="T8" s="258" t="e">
        <f>IF(AND('Mapa final'!#REF!="Muy Alta",'Mapa final'!#REF!="Menor"),CONCATENATE("R",'Mapa final'!#REF!),"")</f>
        <v>#REF!</v>
      </c>
      <c r="U8" s="259"/>
      <c r="V8" s="257" t="e">
        <f>IF(AND('Mapa final'!#REF!="Muy Alta",'Mapa final'!#REF!="Moderado"),CONCATENATE("R",'Mapa final'!#REF!),"")</f>
        <v>#REF!</v>
      </c>
      <c r="W8" s="258"/>
      <c r="X8" s="258" t="e">
        <f>IF(AND('Mapa final'!#REF!="Muy Alta",'Mapa final'!#REF!="Moderado"),CONCATENATE("R",'Mapa final'!#REF!),"")</f>
        <v>#REF!</v>
      </c>
      <c r="Y8" s="258"/>
      <c r="Z8" s="258" t="e">
        <f>IF(AND('Mapa final'!#REF!="Muy Alta",'Mapa final'!#REF!="Moderado"),CONCATENATE("R",'Mapa final'!#REF!),"")</f>
        <v>#REF!</v>
      </c>
      <c r="AA8" s="259"/>
      <c r="AB8" s="257" t="e">
        <f>IF(AND('Mapa final'!#REF!="Muy Alta",'Mapa final'!#REF!="Mayor"),CONCATENATE("R",'Mapa final'!#REF!),"")</f>
        <v>#REF!</v>
      </c>
      <c r="AC8" s="258"/>
      <c r="AD8" s="258" t="e">
        <f>IF(AND('Mapa final'!#REF!="Muy Alta",'Mapa final'!#REF!="Mayor"),CONCATENATE("R",'Mapa final'!#REF!),"")</f>
        <v>#REF!</v>
      </c>
      <c r="AE8" s="258"/>
      <c r="AF8" s="258" t="e">
        <f>IF(AND('Mapa final'!#REF!="Muy Alta",'Mapa final'!#REF!="Mayor"),CONCATENATE("R",'Mapa final'!#REF!),"")</f>
        <v>#REF!</v>
      </c>
      <c r="AG8" s="259"/>
      <c r="AH8" s="248" t="e">
        <f>IF(AND('Mapa final'!#REF!="Muy Alta",'Mapa final'!#REF!="Catastrófico"),CONCATENATE("R",'Mapa final'!#REF!),"")</f>
        <v>#REF!</v>
      </c>
      <c r="AI8" s="249"/>
      <c r="AJ8" s="249" t="e">
        <f>IF(AND('Mapa final'!#REF!="Muy Alta",'Mapa final'!#REF!="Catastrófico"),CONCATENATE("R",'Mapa final'!#REF!),"")</f>
        <v>#REF!</v>
      </c>
      <c r="AK8" s="249"/>
      <c r="AL8" s="249" t="e">
        <f>IF(AND('Mapa final'!#REF!="Muy Alta",'Mapa final'!#REF!="Catastrófico"),CONCATENATE("R",'Mapa final'!#REF!),"")</f>
        <v>#REF!</v>
      </c>
      <c r="AM8" s="250"/>
      <c r="AN8" s="75"/>
      <c r="AO8" s="282"/>
      <c r="AP8" s="283"/>
      <c r="AQ8" s="283"/>
      <c r="AR8" s="283"/>
      <c r="AS8" s="283"/>
      <c r="AT8" s="28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77"/>
      <c r="C9" s="277"/>
      <c r="D9" s="278"/>
      <c r="E9" s="270"/>
      <c r="F9" s="271"/>
      <c r="G9" s="271"/>
      <c r="H9" s="271"/>
      <c r="I9" s="272"/>
      <c r="J9" s="257"/>
      <c r="K9" s="258"/>
      <c r="L9" s="258"/>
      <c r="M9" s="258"/>
      <c r="N9" s="258"/>
      <c r="O9" s="259"/>
      <c r="P9" s="257"/>
      <c r="Q9" s="258"/>
      <c r="R9" s="258"/>
      <c r="S9" s="258"/>
      <c r="T9" s="258"/>
      <c r="U9" s="259"/>
      <c r="V9" s="257"/>
      <c r="W9" s="258"/>
      <c r="X9" s="258"/>
      <c r="Y9" s="258"/>
      <c r="Z9" s="258"/>
      <c r="AA9" s="259"/>
      <c r="AB9" s="257"/>
      <c r="AC9" s="258"/>
      <c r="AD9" s="258"/>
      <c r="AE9" s="258"/>
      <c r="AF9" s="258"/>
      <c r="AG9" s="259"/>
      <c r="AH9" s="248"/>
      <c r="AI9" s="249"/>
      <c r="AJ9" s="249"/>
      <c r="AK9" s="249"/>
      <c r="AL9" s="249"/>
      <c r="AM9" s="250"/>
      <c r="AN9" s="75"/>
      <c r="AO9" s="282"/>
      <c r="AP9" s="283"/>
      <c r="AQ9" s="283"/>
      <c r="AR9" s="283"/>
      <c r="AS9" s="283"/>
      <c r="AT9" s="28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77"/>
      <c r="C10" s="277"/>
      <c r="D10" s="278"/>
      <c r="E10" s="270"/>
      <c r="F10" s="271"/>
      <c r="G10" s="271"/>
      <c r="H10" s="271"/>
      <c r="I10" s="272"/>
      <c r="J10" s="257" t="e">
        <f>IF(AND('Mapa final'!#REF!="Muy Alta",'Mapa final'!#REF!="Leve"),CONCATENATE("R",'Mapa final'!#REF!),"")</f>
        <v>#REF!</v>
      </c>
      <c r="K10" s="258"/>
      <c r="L10" s="258" t="e">
        <f>IF(AND('Mapa final'!#REF!="Muy Alta",'Mapa final'!#REF!="Leve"),CONCATENATE("R",'Mapa final'!#REF!),"")</f>
        <v>#REF!</v>
      </c>
      <c r="M10" s="258"/>
      <c r="N10" s="258" t="e">
        <f>IF(AND('Mapa final'!#REF!="Muy Alta",'Mapa final'!#REF!="Leve"),CONCATENATE("R",'Mapa final'!#REF!),"")</f>
        <v>#REF!</v>
      </c>
      <c r="O10" s="259"/>
      <c r="P10" s="257" t="e">
        <f>IF(AND('Mapa final'!#REF!="Muy Alta",'Mapa final'!#REF!="Menor"),CONCATENATE("R",'Mapa final'!#REF!),"")</f>
        <v>#REF!</v>
      </c>
      <c r="Q10" s="258"/>
      <c r="R10" s="258" t="e">
        <f>IF(AND('Mapa final'!#REF!="Muy Alta",'Mapa final'!#REF!="Menor"),CONCATENATE("R",'Mapa final'!#REF!),"")</f>
        <v>#REF!</v>
      </c>
      <c r="S10" s="258"/>
      <c r="T10" s="258" t="e">
        <f>IF(AND('Mapa final'!#REF!="Muy Alta",'Mapa final'!#REF!="Menor"),CONCATENATE("R",'Mapa final'!#REF!),"")</f>
        <v>#REF!</v>
      </c>
      <c r="U10" s="259"/>
      <c r="V10" s="257" t="e">
        <f>IF(AND('Mapa final'!#REF!="Muy Alta",'Mapa final'!#REF!="Moderado"),CONCATENATE("R",'Mapa final'!#REF!),"")</f>
        <v>#REF!</v>
      </c>
      <c r="W10" s="258"/>
      <c r="X10" s="258" t="e">
        <f>IF(AND('Mapa final'!#REF!="Muy Alta",'Mapa final'!#REF!="Moderado"),CONCATENATE("R",'Mapa final'!#REF!),"")</f>
        <v>#REF!</v>
      </c>
      <c r="Y10" s="258"/>
      <c r="Z10" s="258" t="e">
        <f>IF(AND('Mapa final'!#REF!="Muy Alta",'Mapa final'!#REF!="Moderado"),CONCATENATE("R",'Mapa final'!#REF!),"")</f>
        <v>#REF!</v>
      </c>
      <c r="AA10" s="259"/>
      <c r="AB10" s="257" t="e">
        <f>IF(AND('Mapa final'!#REF!="Muy Alta",'Mapa final'!#REF!="Mayor"),CONCATENATE("R",'Mapa final'!#REF!),"")</f>
        <v>#REF!</v>
      </c>
      <c r="AC10" s="258"/>
      <c r="AD10" s="258" t="e">
        <f>IF(AND('Mapa final'!#REF!="Muy Alta",'Mapa final'!#REF!="Mayor"),CONCATENATE("R",'Mapa final'!#REF!),"")</f>
        <v>#REF!</v>
      </c>
      <c r="AE10" s="258"/>
      <c r="AF10" s="258" t="e">
        <f>IF(AND('Mapa final'!#REF!="Muy Alta",'Mapa final'!#REF!="Mayor"),CONCATENATE("R",'Mapa final'!#REF!),"")</f>
        <v>#REF!</v>
      </c>
      <c r="AG10" s="259"/>
      <c r="AH10" s="248" t="e">
        <f>IF(AND('Mapa final'!#REF!="Muy Alta",'Mapa final'!#REF!="Catastrófico"),CONCATENATE("R",'Mapa final'!#REF!),"")</f>
        <v>#REF!</v>
      </c>
      <c r="AI10" s="249"/>
      <c r="AJ10" s="249" t="e">
        <f>IF(AND('Mapa final'!#REF!="Muy Alta",'Mapa final'!#REF!="Catastrófico"),CONCATENATE("R",'Mapa final'!#REF!),"")</f>
        <v>#REF!</v>
      </c>
      <c r="AK10" s="249"/>
      <c r="AL10" s="249" t="e">
        <f>IF(AND('Mapa final'!#REF!="Muy Alta",'Mapa final'!#REF!="Catastrófico"),CONCATENATE("R",'Mapa final'!#REF!),"")</f>
        <v>#REF!</v>
      </c>
      <c r="AM10" s="250"/>
      <c r="AN10" s="75"/>
      <c r="AO10" s="282"/>
      <c r="AP10" s="283"/>
      <c r="AQ10" s="283"/>
      <c r="AR10" s="283"/>
      <c r="AS10" s="283"/>
      <c r="AT10" s="28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77"/>
      <c r="C11" s="277"/>
      <c r="D11" s="278"/>
      <c r="E11" s="270"/>
      <c r="F11" s="271"/>
      <c r="G11" s="271"/>
      <c r="H11" s="271"/>
      <c r="I11" s="272"/>
      <c r="J11" s="257"/>
      <c r="K11" s="258"/>
      <c r="L11" s="258"/>
      <c r="M11" s="258"/>
      <c r="N11" s="258"/>
      <c r="O11" s="259"/>
      <c r="P11" s="257"/>
      <c r="Q11" s="258"/>
      <c r="R11" s="258"/>
      <c r="S11" s="258"/>
      <c r="T11" s="258"/>
      <c r="U11" s="259"/>
      <c r="V11" s="257"/>
      <c r="W11" s="258"/>
      <c r="X11" s="258"/>
      <c r="Y11" s="258"/>
      <c r="Z11" s="258"/>
      <c r="AA11" s="259"/>
      <c r="AB11" s="257"/>
      <c r="AC11" s="258"/>
      <c r="AD11" s="258"/>
      <c r="AE11" s="258"/>
      <c r="AF11" s="258"/>
      <c r="AG11" s="259"/>
      <c r="AH11" s="248"/>
      <c r="AI11" s="249"/>
      <c r="AJ11" s="249"/>
      <c r="AK11" s="249"/>
      <c r="AL11" s="249"/>
      <c r="AM11" s="250"/>
      <c r="AN11" s="75"/>
      <c r="AO11" s="282"/>
      <c r="AP11" s="283"/>
      <c r="AQ11" s="283"/>
      <c r="AR11" s="283"/>
      <c r="AS11" s="283"/>
      <c r="AT11" s="28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77"/>
      <c r="C12" s="277"/>
      <c r="D12" s="278"/>
      <c r="E12" s="270"/>
      <c r="F12" s="271"/>
      <c r="G12" s="271"/>
      <c r="H12" s="271"/>
      <c r="I12" s="272"/>
      <c r="J12" s="257" t="e">
        <f>IF(AND('Mapa final'!#REF!="Muy Alta",'Mapa final'!#REF!="Leve"),CONCATENATE("R",'Mapa final'!#REF!),"")</f>
        <v>#REF!</v>
      </c>
      <c r="K12" s="258"/>
      <c r="L12" s="258" t="str">
        <f>IF(AND('Mapa final'!$L$14="Muy Alta",'Mapa final'!$P$14="Leve"),CONCATENATE("R",'Mapa final'!$A$14),"")</f>
        <v/>
      </c>
      <c r="M12" s="258"/>
      <c r="N12" s="258" t="str">
        <f>IF(AND('Mapa final'!$L$16="Muy Alta",'Mapa final'!$P$16="Leve"),CONCATENATE("R",'Mapa final'!$A$16),"")</f>
        <v/>
      </c>
      <c r="O12" s="259"/>
      <c r="P12" s="257" t="e">
        <f>IF(AND('Mapa final'!#REF!="Muy Alta",'Mapa final'!#REF!="Menor"),CONCATENATE("R",'Mapa final'!#REF!),"")</f>
        <v>#REF!</v>
      </c>
      <c r="Q12" s="258"/>
      <c r="R12" s="258" t="str">
        <f>IF(AND('Mapa final'!$L$14="Muy Alta",'Mapa final'!$P$14="Menor"),CONCATENATE("R",'Mapa final'!$A$14),"")</f>
        <v/>
      </c>
      <c r="S12" s="258"/>
      <c r="T12" s="258" t="str">
        <f>IF(AND('Mapa final'!$L$16="Muy Alta",'Mapa final'!$P$16="Menor"),CONCATENATE("R",'Mapa final'!$A$16),"")</f>
        <v/>
      </c>
      <c r="U12" s="259"/>
      <c r="V12" s="257" t="e">
        <f>IF(AND('Mapa final'!#REF!="Muy Alta",'Mapa final'!#REF!="Moderado"),CONCATENATE("R",'Mapa final'!#REF!),"")</f>
        <v>#REF!</v>
      </c>
      <c r="W12" s="258"/>
      <c r="X12" s="258" t="str">
        <f>IF(AND('Mapa final'!$L$14="Muy Alta",'Mapa final'!$P$14="Moderado"),CONCATENATE("R",'Mapa final'!$A$14),"")</f>
        <v/>
      </c>
      <c r="Y12" s="258"/>
      <c r="Z12" s="258" t="str">
        <f>IF(AND('Mapa final'!$L$16="Muy Alta",'Mapa final'!$P$16="Moderado"),CONCATENATE("R",'Mapa final'!$A$16),"")</f>
        <v/>
      </c>
      <c r="AA12" s="259"/>
      <c r="AB12" s="257" t="e">
        <f>IF(AND('Mapa final'!#REF!="Muy Alta",'Mapa final'!#REF!="Mayor"),CONCATENATE("R",'Mapa final'!#REF!),"")</f>
        <v>#REF!</v>
      </c>
      <c r="AC12" s="258"/>
      <c r="AD12" s="258" t="str">
        <f>IF(AND('Mapa final'!$L$14="Muy Alta",'Mapa final'!$P$14="Mayor"),CONCATENATE("R",'Mapa final'!$A$14),"")</f>
        <v/>
      </c>
      <c r="AE12" s="258"/>
      <c r="AF12" s="258" t="str">
        <f>IF(AND('Mapa final'!$L$16="Muy Alta",'Mapa final'!$P$16="Mayor"),CONCATENATE("R",'Mapa final'!$A$16),"")</f>
        <v/>
      </c>
      <c r="AG12" s="259"/>
      <c r="AH12" s="248" t="e">
        <f>IF(AND('Mapa final'!#REF!="Muy Alta",'Mapa final'!#REF!="Catastrófico"),CONCATENATE("R",'Mapa final'!#REF!),"")</f>
        <v>#REF!</v>
      </c>
      <c r="AI12" s="249"/>
      <c r="AJ12" s="249" t="str">
        <f>IF(AND('Mapa final'!$L$14="Muy Alta",'Mapa final'!$P$14="Catastrófico"),CONCATENATE("R",'Mapa final'!$A$14),"")</f>
        <v/>
      </c>
      <c r="AK12" s="249"/>
      <c r="AL12" s="249" t="str">
        <f>IF(AND('Mapa final'!$L$16="Muy Alta",'Mapa final'!$P$16="Catastrófico"),CONCATENATE("R",'Mapa final'!$A$16),"")</f>
        <v/>
      </c>
      <c r="AM12" s="250"/>
      <c r="AN12" s="75"/>
      <c r="AO12" s="282"/>
      <c r="AP12" s="283"/>
      <c r="AQ12" s="283"/>
      <c r="AR12" s="283"/>
      <c r="AS12" s="283"/>
      <c r="AT12" s="28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77"/>
      <c r="C13" s="277"/>
      <c r="D13" s="278"/>
      <c r="E13" s="273"/>
      <c r="F13" s="274"/>
      <c r="G13" s="274"/>
      <c r="H13" s="274"/>
      <c r="I13" s="275"/>
      <c r="J13" s="257"/>
      <c r="K13" s="258"/>
      <c r="L13" s="258"/>
      <c r="M13" s="258"/>
      <c r="N13" s="258"/>
      <c r="O13" s="259"/>
      <c r="P13" s="257"/>
      <c r="Q13" s="258"/>
      <c r="R13" s="258"/>
      <c r="S13" s="258"/>
      <c r="T13" s="258"/>
      <c r="U13" s="259"/>
      <c r="V13" s="257"/>
      <c r="W13" s="258"/>
      <c r="X13" s="258"/>
      <c r="Y13" s="258"/>
      <c r="Z13" s="258"/>
      <c r="AA13" s="259"/>
      <c r="AB13" s="257"/>
      <c r="AC13" s="258"/>
      <c r="AD13" s="258"/>
      <c r="AE13" s="258"/>
      <c r="AF13" s="258"/>
      <c r="AG13" s="259"/>
      <c r="AH13" s="251"/>
      <c r="AI13" s="252"/>
      <c r="AJ13" s="252"/>
      <c r="AK13" s="252"/>
      <c r="AL13" s="252"/>
      <c r="AM13" s="253"/>
      <c r="AN13" s="75"/>
      <c r="AO13" s="285"/>
      <c r="AP13" s="286"/>
      <c r="AQ13" s="286"/>
      <c r="AR13" s="286"/>
      <c r="AS13" s="286"/>
      <c r="AT13" s="28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77"/>
      <c r="C14" s="277"/>
      <c r="D14" s="278"/>
      <c r="E14" s="267" t="s">
        <v>179</v>
      </c>
      <c r="F14" s="268"/>
      <c r="G14" s="268"/>
      <c r="H14" s="268"/>
      <c r="I14" s="268"/>
      <c r="J14" s="245" t="e">
        <f>IF(AND('Mapa final'!#REF!="Alta",'Mapa final'!#REF!="Leve"),CONCATENATE("R",'Mapa final'!#REF!),"")</f>
        <v>#REF!</v>
      </c>
      <c r="K14" s="246"/>
      <c r="L14" s="246" t="str">
        <f>IF(AND('Mapa final'!$L$11="Alta",'Mapa final'!$P$11="Leve"),CONCATENATE("R",'Mapa final'!$A$11),"")</f>
        <v/>
      </c>
      <c r="M14" s="246"/>
      <c r="N14" s="246" t="e">
        <f>IF(AND('Mapa final'!#REF!="Alta",'Mapa final'!#REF!="Leve"),CONCATENATE("R",'Mapa final'!#REF!),"")</f>
        <v>#REF!</v>
      </c>
      <c r="O14" s="247"/>
      <c r="P14" s="245" t="e">
        <f>IF(AND('Mapa final'!#REF!="Alta",'Mapa final'!#REF!="Menor"),CONCATENATE("R",'Mapa final'!#REF!),"")</f>
        <v>#REF!</v>
      </c>
      <c r="Q14" s="246"/>
      <c r="R14" s="246" t="str">
        <f>IF(AND('Mapa final'!$L$11="Alta",'Mapa final'!$P$11="Menor"),CONCATENATE("R",'Mapa final'!$A$11),"")</f>
        <v/>
      </c>
      <c r="S14" s="246"/>
      <c r="T14" s="246" t="e">
        <f>IF(AND('Mapa final'!#REF!="Alta",'Mapa final'!#REF!="Menor"),CONCATENATE("R",'Mapa final'!#REF!),"")</f>
        <v>#REF!</v>
      </c>
      <c r="U14" s="247"/>
      <c r="V14" s="263" t="e">
        <f>IF(AND('Mapa final'!#REF!="Alta",'Mapa final'!#REF!="Moderado"),CONCATENATE("R",'Mapa final'!#REF!),"")</f>
        <v>#REF!</v>
      </c>
      <c r="W14" s="264"/>
      <c r="X14" s="264" t="str">
        <f>IF(AND('Mapa final'!$L$11="Alta",'Mapa final'!$P$11="Moderado"),CONCATENATE("R",'Mapa final'!$A$11),"")</f>
        <v/>
      </c>
      <c r="Y14" s="264"/>
      <c r="Z14" s="264" t="e">
        <f>IF(AND('Mapa final'!#REF!="Alta",'Mapa final'!#REF!="Moderado"),CONCATENATE("R",'Mapa final'!#REF!),"")</f>
        <v>#REF!</v>
      </c>
      <c r="AA14" s="265"/>
      <c r="AB14" s="263" t="e">
        <f>IF(AND('Mapa final'!#REF!="Alta",'Mapa final'!#REF!="Mayor"),CONCATENATE("R",'Mapa final'!#REF!),"")</f>
        <v>#REF!</v>
      </c>
      <c r="AC14" s="264"/>
      <c r="AD14" s="264" t="str">
        <f>IF(AND('Mapa final'!$L$11="Alta",'Mapa final'!$P$11="Mayor"),CONCATENATE("R",'Mapa final'!$A$11),"")</f>
        <v/>
      </c>
      <c r="AE14" s="264"/>
      <c r="AF14" s="264" t="e">
        <f>IF(AND('Mapa final'!#REF!="Alta",'Mapa final'!#REF!="Mayor"),CONCATENATE("R",'Mapa final'!#REF!),"")</f>
        <v>#REF!</v>
      </c>
      <c r="AG14" s="265"/>
      <c r="AH14" s="254" t="e">
        <f>IF(AND('Mapa final'!#REF!="Alta",'Mapa final'!#REF!="Catastrófico"),CONCATENATE("R",'Mapa final'!#REF!),"")</f>
        <v>#REF!</v>
      </c>
      <c r="AI14" s="255"/>
      <c r="AJ14" s="255" t="str">
        <f>IF(AND('Mapa final'!$L$11="Alta",'Mapa final'!$P$11="Catastrófico"),CONCATENATE("R",'Mapa final'!$A$11),"")</f>
        <v/>
      </c>
      <c r="AK14" s="255"/>
      <c r="AL14" s="255" t="e">
        <f>IF(AND('Mapa final'!#REF!="Alta",'Mapa final'!#REF!="Catastrófico"),CONCATENATE("R",'Mapa final'!#REF!),"")</f>
        <v>#REF!</v>
      </c>
      <c r="AM14" s="256"/>
      <c r="AN14" s="75"/>
      <c r="AO14" s="288" t="s">
        <v>180</v>
      </c>
      <c r="AP14" s="289"/>
      <c r="AQ14" s="289"/>
      <c r="AR14" s="289"/>
      <c r="AS14" s="289"/>
      <c r="AT14" s="290"/>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77"/>
      <c r="C15" s="277"/>
      <c r="D15" s="278"/>
      <c r="E15" s="270"/>
      <c r="F15" s="271"/>
      <c r="G15" s="271"/>
      <c r="H15" s="271"/>
      <c r="I15" s="271"/>
      <c r="J15" s="239"/>
      <c r="K15" s="240"/>
      <c r="L15" s="240"/>
      <c r="M15" s="240"/>
      <c r="N15" s="240"/>
      <c r="O15" s="241"/>
      <c r="P15" s="239"/>
      <c r="Q15" s="240"/>
      <c r="R15" s="240"/>
      <c r="S15" s="240"/>
      <c r="T15" s="240"/>
      <c r="U15" s="241"/>
      <c r="V15" s="257"/>
      <c r="W15" s="258"/>
      <c r="X15" s="258"/>
      <c r="Y15" s="258"/>
      <c r="Z15" s="258"/>
      <c r="AA15" s="259"/>
      <c r="AB15" s="257"/>
      <c r="AC15" s="258"/>
      <c r="AD15" s="258"/>
      <c r="AE15" s="258"/>
      <c r="AF15" s="258"/>
      <c r="AG15" s="259"/>
      <c r="AH15" s="248"/>
      <c r="AI15" s="249"/>
      <c r="AJ15" s="249"/>
      <c r="AK15" s="249"/>
      <c r="AL15" s="249"/>
      <c r="AM15" s="250"/>
      <c r="AN15" s="75"/>
      <c r="AO15" s="291"/>
      <c r="AP15" s="292"/>
      <c r="AQ15" s="292"/>
      <c r="AR15" s="292"/>
      <c r="AS15" s="292"/>
      <c r="AT15" s="293"/>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77"/>
      <c r="C16" s="277"/>
      <c r="D16" s="278"/>
      <c r="E16" s="270"/>
      <c r="F16" s="271"/>
      <c r="G16" s="271"/>
      <c r="H16" s="271"/>
      <c r="I16" s="271"/>
      <c r="J16" s="239" t="e">
        <f>IF(AND('Mapa final'!#REF!="Alta",'Mapa final'!#REF!="Leve"),CONCATENATE("R",'Mapa final'!#REF!),"")</f>
        <v>#REF!</v>
      </c>
      <c r="K16" s="240"/>
      <c r="L16" s="240" t="e">
        <f>IF(AND('Mapa final'!#REF!="Alta",'Mapa final'!#REF!="Leve"),CONCATENATE("R",'Mapa final'!#REF!),"")</f>
        <v>#REF!</v>
      </c>
      <c r="M16" s="240"/>
      <c r="N16" s="240" t="e">
        <f>IF(AND('Mapa final'!#REF!="Alta",'Mapa final'!#REF!="Leve"),CONCATENATE("R",'Mapa final'!#REF!),"")</f>
        <v>#REF!</v>
      </c>
      <c r="O16" s="241"/>
      <c r="P16" s="239" t="e">
        <f>IF(AND('Mapa final'!#REF!="Alta",'Mapa final'!#REF!="Menor"),CONCATENATE("R",'Mapa final'!#REF!),"")</f>
        <v>#REF!</v>
      </c>
      <c r="Q16" s="240"/>
      <c r="R16" s="240" t="e">
        <f>IF(AND('Mapa final'!#REF!="Alta",'Mapa final'!#REF!="Menor"),CONCATENATE("R",'Mapa final'!#REF!),"")</f>
        <v>#REF!</v>
      </c>
      <c r="S16" s="240"/>
      <c r="T16" s="240" t="e">
        <f>IF(AND('Mapa final'!#REF!="Alta",'Mapa final'!#REF!="Menor"),CONCATENATE("R",'Mapa final'!#REF!),"")</f>
        <v>#REF!</v>
      </c>
      <c r="U16" s="241"/>
      <c r="V16" s="257" t="e">
        <f>IF(AND('Mapa final'!#REF!="Alta",'Mapa final'!#REF!="Moderado"),CONCATENATE("R",'Mapa final'!#REF!),"")</f>
        <v>#REF!</v>
      </c>
      <c r="W16" s="258"/>
      <c r="X16" s="258" t="e">
        <f>IF(AND('Mapa final'!#REF!="Alta",'Mapa final'!#REF!="Moderado"),CONCATENATE("R",'Mapa final'!#REF!),"")</f>
        <v>#REF!</v>
      </c>
      <c r="Y16" s="258"/>
      <c r="Z16" s="258" t="e">
        <f>IF(AND('Mapa final'!#REF!="Alta",'Mapa final'!#REF!="Moderado"),CONCATENATE("R",'Mapa final'!#REF!),"")</f>
        <v>#REF!</v>
      </c>
      <c r="AA16" s="259"/>
      <c r="AB16" s="257" t="e">
        <f>IF(AND('Mapa final'!#REF!="Alta",'Mapa final'!#REF!="Mayor"),CONCATENATE("R",'Mapa final'!#REF!),"")</f>
        <v>#REF!</v>
      </c>
      <c r="AC16" s="258"/>
      <c r="AD16" s="258" t="e">
        <f>IF(AND('Mapa final'!#REF!="Alta",'Mapa final'!#REF!="Mayor"),CONCATENATE("R",'Mapa final'!#REF!),"")</f>
        <v>#REF!</v>
      </c>
      <c r="AE16" s="258"/>
      <c r="AF16" s="258" t="e">
        <f>IF(AND('Mapa final'!#REF!="Alta",'Mapa final'!#REF!="Mayor"),CONCATENATE("R",'Mapa final'!#REF!),"")</f>
        <v>#REF!</v>
      </c>
      <c r="AG16" s="259"/>
      <c r="AH16" s="248" t="e">
        <f>IF(AND('Mapa final'!#REF!="Alta",'Mapa final'!#REF!="Catastrófico"),CONCATENATE("R",'Mapa final'!#REF!),"")</f>
        <v>#REF!</v>
      </c>
      <c r="AI16" s="249"/>
      <c r="AJ16" s="249" t="e">
        <f>IF(AND('Mapa final'!#REF!="Alta",'Mapa final'!#REF!="Catastrófico"),CONCATENATE("R",'Mapa final'!#REF!),"")</f>
        <v>#REF!</v>
      </c>
      <c r="AK16" s="249"/>
      <c r="AL16" s="249" t="e">
        <f>IF(AND('Mapa final'!#REF!="Alta",'Mapa final'!#REF!="Catastrófico"),CONCATENATE("R",'Mapa final'!#REF!),"")</f>
        <v>#REF!</v>
      </c>
      <c r="AM16" s="250"/>
      <c r="AN16" s="75"/>
      <c r="AO16" s="291"/>
      <c r="AP16" s="292"/>
      <c r="AQ16" s="292"/>
      <c r="AR16" s="292"/>
      <c r="AS16" s="292"/>
      <c r="AT16" s="29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77"/>
      <c r="C17" s="277"/>
      <c r="D17" s="278"/>
      <c r="E17" s="270"/>
      <c r="F17" s="271"/>
      <c r="G17" s="271"/>
      <c r="H17" s="271"/>
      <c r="I17" s="271"/>
      <c r="J17" s="239"/>
      <c r="K17" s="240"/>
      <c r="L17" s="240"/>
      <c r="M17" s="240"/>
      <c r="N17" s="240"/>
      <c r="O17" s="241"/>
      <c r="P17" s="239"/>
      <c r="Q17" s="240"/>
      <c r="R17" s="240"/>
      <c r="S17" s="240"/>
      <c r="T17" s="240"/>
      <c r="U17" s="241"/>
      <c r="V17" s="257"/>
      <c r="W17" s="258"/>
      <c r="X17" s="258"/>
      <c r="Y17" s="258"/>
      <c r="Z17" s="258"/>
      <c r="AA17" s="259"/>
      <c r="AB17" s="257"/>
      <c r="AC17" s="258"/>
      <c r="AD17" s="258"/>
      <c r="AE17" s="258"/>
      <c r="AF17" s="258"/>
      <c r="AG17" s="259"/>
      <c r="AH17" s="248"/>
      <c r="AI17" s="249"/>
      <c r="AJ17" s="249"/>
      <c r="AK17" s="249"/>
      <c r="AL17" s="249"/>
      <c r="AM17" s="250"/>
      <c r="AN17" s="75"/>
      <c r="AO17" s="291"/>
      <c r="AP17" s="292"/>
      <c r="AQ17" s="292"/>
      <c r="AR17" s="292"/>
      <c r="AS17" s="292"/>
      <c r="AT17" s="293"/>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77"/>
      <c r="C18" s="277"/>
      <c r="D18" s="278"/>
      <c r="E18" s="270"/>
      <c r="F18" s="271"/>
      <c r="G18" s="271"/>
      <c r="H18" s="271"/>
      <c r="I18" s="271"/>
      <c r="J18" s="239" t="e">
        <f>IF(AND('Mapa final'!#REF!="Alta",'Mapa final'!#REF!="Leve"),CONCATENATE("R",'Mapa final'!#REF!),"")</f>
        <v>#REF!</v>
      </c>
      <c r="K18" s="240"/>
      <c r="L18" s="240" t="e">
        <f>IF(AND('Mapa final'!#REF!="Alta",'Mapa final'!#REF!="Leve"),CONCATENATE("R",'Mapa final'!#REF!),"")</f>
        <v>#REF!</v>
      </c>
      <c r="M18" s="240"/>
      <c r="N18" s="240" t="e">
        <f>IF(AND('Mapa final'!#REF!="Alta",'Mapa final'!#REF!="Leve"),CONCATENATE("R",'Mapa final'!#REF!),"")</f>
        <v>#REF!</v>
      </c>
      <c r="O18" s="241"/>
      <c r="P18" s="239" t="e">
        <f>IF(AND('Mapa final'!#REF!="Alta",'Mapa final'!#REF!="Menor"),CONCATENATE("R",'Mapa final'!#REF!),"")</f>
        <v>#REF!</v>
      </c>
      <c r="Q18" s="240"/>
      <c r="R18" s="240" t="e">
        <f>IF(AND('Mapa final'!#REF!="Alta",'Mapa final'!#REF!="Menor"),CONCATENATE("R",'Mapa final'!#REF!),"")</f>
        <v>#REF!</v>
      </c>
      <c r="S18" s="240"/>
      <c r="T18" s="240" t="e">
        <f>IF(AND('Mapa final'!#REF!="Alta",'Mapa final'!#REF!="Menor"),CONCATENATE("R",'Mapa final'!#REF!),"")</f>
        <v>#REF!</v>
      </c>
      <c r="U18" s="241"/>
      <c r="V18" s="257" t="e">
        <f>IF(AND('Mapa final'!#REF!="Alta",'Mapa final'!#REF!="Moderado"),CONCATENATE("R",'Mapa final'!#REF!),"")</f>
        <v>#REF!</v>
      </c>
      <c r="W18" s="258"/>
      <c r="X18" s="258" t="e">
        <f>IF(AND('Mapa final'!#REF!="Alta",'Mapa final'!#REF!="Moderado"),CONCATENATE("R",'Mapa final'!#REF!),"")</f>
        <v>#REF!</v>
      </c>
      <c r="Y18" s="258"/>
      <c r="Z18" s="258" t="e">
        <f>IF(AND('Mapa final'!#REF!="Alta",'Mapa final'!#REF!="Moderado"),CONCATENATE("R",'Mapa final'!#REF!),"")</f>
        <v>#REF!</v>
      </c>
      <c r="AA18" s="259"/>
      <c r="AB18" s="257" t="e">
        <f>IF(AND('Mapa final'!#REF!="Alta",'Mapa final'!#REF!="Mayor"),CONCATENATE("R",'Mapa final'!#REF!),"")</f>
        <v>#REF!</v>
      </c>
      <c r="AC18" s="258"/>
      <c r="AD18" s="258" t="e">
        <f>IF(AND('Mapa final'!#REF!="Alta",'Mapa final'!#REF!="Mayor"),CONCATENATE("R",'Mapa final'!#REF!),"")</f>
        <v>#REF!</v>
      </c>
      <c r="AE18" s="258"/>
      <c r="AF18" s="258" t="e">
        <f>IF(AND('Mapa final'!#REF!="Alta",'Mapa final'!#REF!="Mayor"),CONCATENATE("R",'Mapa final'!#REF!),"")</f>
        <v>#REF!</v>
      </c>
      <c r="AG18" s="259"/>
      <c r="AH18" s="248" t="e">
        <f>IF(AND('Mapa final'!#REF!="Alta",'Mapa final'!#REF!="Catastrófico"),CONCATENATE("R",'Mapa final'!#REF!),"")</f>
        <v>#REF!</v>
      </c>
      <c r="AI18" s="249"/>
      <c r="AJ18" s="249" t="e">
        <f>IF(AND('Mapa final'!#REF!="Alta",'Mapa final'!#REF!="Catastrófico"),CONCATENATE("R",'Mapa final'!#REF!),"")</f>
        <v>#REF!</v>
      </c>
      <c r="AK18" s="249"/>
      <c r="AL18" s="249" t="e">
        <f>IF(AND('Mapa final'!#REF!="Alta",'Mapa final'!#REF!="Catastrófico"),CONCATENATE("R",'Mapa final'!#REF!),"")</f>
        <v>#REF!</v>
      </c>
      <c r="AM18" s="250"/>
      <c r="AN18" s="75"/>
      <c r="AO18" s="291"/>
      <c r="AP18" s="292"/>
      <c r="AQ18" s="292"/>
      <c r="AR18" s="292"/>
      <c r="AS18" s="292"/>
      <c r="AT18" s="293"/>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77"/>
      <c r="C19" s="277"/>
      <c r="D19" s="278"/>
      <c r="E19" s="270"/>
      <c r="F19" s="271"/>
      <c r="G19" s="271"/>
      <c r="H19" s="271"/>
      <c r="I19" s="271"/>
      <c r="J19" s="239"/>
      <c r="K19" s="240"/>
      <c r="L19" s="240"/>
      <c r="M19" s="240"/>
      <c r="N19" s="240"/>
      <c r="O19" s="241"/>
      <c r="P19" s="239"/>
      <c r="Q19" s="240"/>
      <c r="R19" s="240"/>
      <c r="S19" s="240"/>
      <c r="T19" s="240"/>
      <c r="U19" s="241"/>
      <c r="V19" s="257"/>
      <c r="W19" s="258"/>
      <c r="X19" s="258"/>
      <c r="Y19" s="258"/>
      <c r="Z19" s="258"/>
      <c r="AA19" s="259"/>
      <c r="AB19" s="257"/>
      <c r="AC19" s="258"/>
      <c r="AD19" s="258"/>
      <c r="AE19" s="258"/>
      <c r="AF19" s="258"/>
      <c r="AG19" s="259"/>
      <c r="AH19" s="248"/>
      <c r="AI19" s="249"/>
      <c r="AJ19" s="249"/>
      <c r="AK19" s="249"/>
      <c r="AL19" s="249"/>
      <c r="AM19" s="250"/>
      <c r="AN19" s="75"/>
      <c r="AO19" s="291"/>
      <c r="AP19" s="292"/>
      <c r="AQ19" s="292"/>
      <c r="AR19" s="292"/>
      <c r="AS19" s="292"/>
      <c r="AT19" s="293"/>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77"/>
      <c r="C20" s="277"/>
      <c r="D20" s="278"/>
      <c r="E20" s="270"/>
      <c r="F20" s="271"/>
      <c r="G20" s="271"/>
      <c r="H20" s="271"/>
      <c r="I20" s="271"/>
      <c r="J20" s="239" t="e">
        <f>IF(AND('Mapa final'!#REF!="Alta",'Mapa final'!#REF!="Leve"),CONCATENATE("R",'Mapa final'!#REF!),"")</f>
        <v>#REF!</v>
      </c>
      <c r="K20" s="240"/>
      <c r="L20" s="240" t="str">
        <f>IF(AND('Mapa final'!$L$14="Alta",'Mapa final'!$P$14="Leve"),CONCATENATE("R",'Mapa final'!$A$14),"")</f>
        <v/>
      </c>
      <c r="M20" s="240"/>
      <c r="N20" s="240" t="str">
        <f>IF(AND('Mapa final'!$L$16="Alta",'Mapa final'!$P$16="Leve"),CONCATENATE("R",'Mapa final'!$A$16),"")</f>
        <v/>
      </c>
      <c r="O20" s="241"/>
      <c r="P20" s="239" t="e">
        <f>IF(AND('Mapa final'!#REF!="Alta",'Mapa final'!#REF!="Menor"),CONCATENATE("R",'Mapa final'!#REF!),"")</f>
        <v>#REF!</v>
      </c>
      <c r="Q20" s="240"/>
      <c r="R20" s="240" t="str">
        <f>IF(AND('Mapa final'!$L$14="Alta",'Mapa final'!$P$14="Menor"),CONCATENATE("R",'Mapa final'!$A$14),"")</f>
        <v/>
      </c>
      <c r="S20" s="240"/>
      <c r="T20" s="240" t="str">
        <f>IF(AND('Mapa final'!$L$16="Alta",'Mapa final'!$P$16="Menor"),CONCATENATE("R",'Mapa final'!$A$16),"")</f>
        <v/>
      </c>
      <c r="U20" s="241"/>
      <c r="V20" s="257" t="e">
        <f>IF(AND('Mapa final'!#REF!="Alta",'Mapa final'!#REF!="Moderado"),CONCATENATE("R",'Mapa final'!#REF!),"")</f>
        <v>#REF!</v>
      </c>
      <c r="W20" s="258"/>
      <c r="X20" s="258" t="str">
        <f>IF(AND('Mapa final'!$L$14="Alta",'Mapa final'!$P$14="Moderado"),CONCATENATE("R",'Mapa final'!$A$14),"")</f>
        <v/>
      </c>
      <c r="Y20" s="258"/>
      <c r="Z20" s="258" t="str">
        <f>IF(AND('Mapa final'!$L$16="Alta",'Mapa final'!$P$16="Moderado"),CONCATENATE("R",'Mapa final'!$A$16),"")</f>
        <v/>
      </c>
      <c r="AA20" s="259"/>
      <c r="AB20" s="257" t="e">
        <f>IF(AND('Mapa final'!#REF!="Alta",'Mapa final'!#REF!="Mayor"),CONCATENATE("R",'Mapa final'!#REF!),"")</f>
        <v>#REF!</v>
      </c>
      <c r="AC20" s="258"/>
      <c r="AD20" s="258" t="str">
        <f>IF(AND('Mapa final'!$L$14="Alta",'Mapa final'!$P$14="Mayor"),CONCATENATE("R",'Mapa final'!$A$14),"")</f>
        <v/>
      </c>
      <c r="AE20" s="258"/>
      <c r="AF20" s="258" t="str">
        <f>IF(AND('Mapa final'!$L$16="Alta",'Mapa final'!$P$16="Mayor"),CONCATENATE("R",'Mapa final'!$A$16),"")</f>
        <v/>
      </c>
      <c r="AG20" s="259"/>
      <c r="AH20" s="248" t="e">
        <f>IF(AND('Mapa final'!#REF!="Alta",'Mapa final'!#REF!="Catastrófico"),CONCATENATE("R",'Mapa final'!#REF!),"")</f>
        <v>#REF!</v>
      </c>
      <c r="AI20" s="249"/>
      <c r="AJ20" s="249" t="str">
        <f>IF(AND('Mapa final'!$L$14="Alta",'Mapa final'!$P$14="Catastrófico"),CONCATENATE("R",'Mapa final'!$A$14),"")</f>
        <v/>
      </c>
      <c r="AK20" s="249"/>
      <c r="AL20" s="249" t="str">
        <f>IF(AND('Mapa final'!$L$16="Alta",'Mapa final'!$P$16="Catastrófico"),CONCATENATE("R",'Mapa final'!$A$16),"")</f>
        <v/>
      </c>
      <c r="AM20" s="250"/>
      <c r="AN20" s="75"/>
      <c r="AO20" s="291"/>
      <c r="AP20" s="292"/>
      <c r="AQ20" s="292"/>
      <c r="AR20" s="292"/>
      <c r="AS20" s="292"/>
      <c r="AT20" s="293"/>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77"/>
      <c r="C21" s="277"/>
      <c r="D21" s="278"/>
      <c r="E21" s="273"/>
      <c r="F21" s="274"/>
      <c r="G21" s="274"/>
      <c r="H21" s="274"/>
      <c r="I21" s="274"/>
      <c r="J21" s="242"/>
      <c r="K21" s="243"/>
      <c r="L21" s="243"/>
      <c r="M21" s="243"/>
      <c r="N21" s="243"/>
      <c r="O21" s="244"/>
      <c r="P21" s="242"/>
      <c r="Q21" s="243"/>
      <c r="R21" s="243"/>
      <c r="S21" s="243"/>
      <c r="T21" s="243"/>
      <c r="U21" s="244"/>
      <c r="V21" s="260"/>
      <c r="W21" s="261"/>
      <c r="X21" s="261"/>
      <c r="Y21" s="261"/>
      <c r="Z21" s="261"/>
      <c r="AA21" s="262"/>
      <c r="AB21" s="260"/>
      <c r="AC21" s="261"/>
      <c r="AD21" s="261"/>
      <c r="AE21" s="261"/>
      <c r="AF21" s="261"/>
      <c r="AG21" s="262"/>
      <c r="AH21" s="251"/>
      <c r="AI21" s="252"/>
      <c r="AJ21" s="252"/>
      <c r="AK21" s="252"/>
      <c r="AL21" s="252"/>
      <c r="AM21" s="253"/>
      <c r="AN21" s="75"/>
      <c r="AO21" s="294"/>
      <c r="AP21" s="295"/>
      <c r="AQ21" s="295"/>
      <c r="AR21" s="295"/>
      <c r="AS21" s="295"/>
      <c r="AT21" s="29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77"/>
      <c r="C22" s="277"/>
      <c r="D22" s="278"/>
      <c r="E22" s="267" t="s">
        <v>181</v>
      </c>
      <c r="F22" s="268"/>
      <c r="G22" s="268"/>
      <c r="H22" s="268"/>
      <c r="I22" s="269"/>
      <c r="J22" s="245" t="e">
        <f>IF(AND('Mapa final'!#REF!="Media",'Mapa final'!#REF!="Leve"),CONCATENATE("R",'Mapa final'!#REF!),"")</f>
        <v>#REF!</v>
      </c>
      <c r="K22" s="246"/>
      <c r="L22" s="246" t="str">
        <f>IF(AND('Mapa final'!$L$11="Media",'Mapa final'!$P$11="Leve"),CONCATENATE("R",'Mapa final'!$A$11),"")</f>
        <v/>
      </c>
      <c r="M22" s="246"/>
      <c r="N22" s="246" t="e">
        <f>IF(AND('Mapa final'!#REF!="Media",'Mapa final'!#REF!="Leve"),CONCATENATE("R",'Mapa final'!#REF!),"")</f>
        <v>#REF!</v>
      </c>
      <c r="O22" s="247"/>
      <c r="P22" s="245" t="e">
        <f>IF(AND('Mapa final'!#REF!="Media",'Mapa final'!#REF!="Menor"),CONCATENATE("R",'Mapa final'!#REF!),"")</f>
        <v>#REF!</v>
      </c>
      <c r="Q22" s="246"/>
      <c r="R22" s="246" t="str">
        <f>IF(AND('Mapa final'!$L$11="Media",'Mapa final'!$P$11="Menor"),CONCATENATE("R",'Mapa final'!$A$11),"")</f>
        <v/>
      </c>
      <c r="S22" s="246"/>
      <c r="T22" s="246" t="e">
        <f>IF(AND('Mapa final'!#REF!="Media",'Mapa final'!#REF!="Menor"),CONCATENATE("R",'Mapa final'!#REF!),"")</f>
        <v>#REF!</v>
      </c>
      <c r="U22" s="247"/>
      <c r="V22" s="245" t="e">
        <f>IF(AND('Mapa final'!#REF!="Media",'Mapa final'!#REF!="Moderado"),CONCATENATE("R",'Mapa final'!#REF!),"")</f>
        <v>#REF!</v>
      </c>
      <c r="W22" s="246"/>
      <c r="X22" s="246" t="str">
        <f>IF(AND('Mapa final'!$L$11="Media",'Mapa final'!$P$11="Moderado"),CONCATENATE("R",'Mapa final'!$A$11),"")</f>
        <v/>
      </c>
      <c r="Y22" s="246"/>
      <c r="Z22" s="246" t="e">
        <f>IF(AND('Mapa final'!#REF!="Media",'Mapa final'!#REF!="Moderado"),CONCATENATE("R",'Mapa final'!#REF!),"")</f>
        <v>#REF!</v>
      </c>
      <c r="AA22" s="247"/>
      <c r="AB22" s="263" t="e">
        <f>IF(AND('Mapa final'!#REF!="Media",'Mapa final'!#REF!="Mayor"),CONCATENATE("R",'Mapa final'!#REF!),"")</f>
        <v>#REF!</v>
      </c>
      <c r="AC22" s="264"/>
      <c r="AD22" s="264" t="str">
        <f>IF(AND('Mapa final'!$L$11="Media",'Mapa final'!$P$11="Mayor"),CONCATENATE("R",'Mapa final'!$A$11),"")</f>
        <v/>
      </c>
      <c r="AE22" s="264"/>
      <c r="AF22" s="264" t="e">
        <f>IF(AND('Mapa final'!#REF!="Media",'Mapa final'!#REF!="Mayor"),CONCATENATE("R",'Mapa final'!#REF!),"")</f>
        <v>#REF!</v>
      </c>
      <c r="AG22" s="265"/>
      <c r="AH22" s="254" t="e">
        <f>IF(AND('Mapa final'!#REF!="Media",'Mapa final'!#REF!="Catastrófico"),CONCATENATE("R",'Mapa final'!#REF!),"")</f>
        <v>#REF!</v>
      </c>
      <c r="AI22" s="255"/>
      <c r="AJ22" s="255" t="str">
        <f>IF(AND('Mapa final'!$L$11="Media",'Mapa final'!$P$11="Catastrófico"),CONCATENATE("R",'Mapa final'!$A$11),"")</f>
        <v/>
      </c>
      <c r="AK22" s="255"/>
      <c r="AL22" s="255" t="e">
        <f>IF(AND('Mapa final'!#REF!="Media",'Mapa final'!#REF!="Catastrófico"),CONCATENATE("R",'Mapa final'!#REF!),"")</f>
        <v>#REF!</v>
      </c>
      <c r="AM22" s="256"/>
      <c r="AN22" s="75"/>
      <c r="AO22" s="297" t="s">
        <v>182</v>
      </c>
      <c r="AP22" s="298"/>
      <c r="AQ22" s="298"/>
      <c r="AR22" s="298"/>
      <c r="AS22" s="298"/>
      <c r="AT22" s="29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77"/>
      <c r="C23" s="277"/>
      <c r="D23" s="278"/>
      <c r="E23" s="270"/>
      <c r="F23" s="271"/>
      <c r="G23" s="271"/>
      <c r="H23" s="271"/>
      <c r="I23" s="272"/>
      <c r="J23" s="239"/>
      <c r="K23" s="240"/>
      <c r="L23" s="240"/>
      <c r="M23" s="240"/>
      <c r="N23" s="240"/>
      <c r="O23" s="241"/>
      <c r="P23" s="239"/>
      <c r="Q23" s="240"/>
      <c r="R23" s="240"/>
      <c r="S23" s="240"/>
      <c r="T23" s="240"/>
      <c r="U23" s="241"/>
      <c r="V23" s="239"/>
      <c r="W23" s="240"/>
      <c r="X23" s="240"/>
      <c r="Y23" s="240"/>
      <c r="Z23" s="240"/>
      <c r="AA23" s="241"/>
      <c r="AB23" s="257"/>
      <c r="AC23" s="258"/>
      <c r="AD23" s="258"/>
      <c r="AE23" s="258"/>
      <c r="AF23" s="258"/>
      <c r="AG23" s="259"/>
      <c r="AH23" s="248"/>
      <c r="AI23" s="249"/>
      <c r="AJ23" s="249"/>
      <c r="AK23" s="249"/>
      <c r="AL23" s="249"/>
      <c r="AM23" s="250"/>
      <c r="AN23" s="75"/>
      <c r="AO23" s="300"/>
      <c r="AP23" s="301"/>
      <c r="AQ23" s="301"/>
      <c r="AR23" s="301"/>
      <c r="AS23" s="301"/>
      <c r="AT23" s="302"/>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77"/>
      <c r="C24" s="277"/>
      <c r="D24" s="278"/>
      <c r="E24" s="270"/>
      <c r="F24" s="271"/>
      <c r="G24" s="271"/>
      <c r="H24" s="271"/>
      <c r="I24" s="272"/>
      <c r="J24" s="239" t="e">
        <f>IF(AND('Mapa final'!#REF!="Media",'Mapa final'!#REF!="Leve"),CONCATENATE("R",'Mapa final'!#REF!),"")</f>
        <v>#REF!</v>
      </c>
      <c r="K24" s="240"/>
      <c r="L24" s="240" t="e">
        <f>IF(AND('Mapa final'!#REF!="Media",'Mapa final'!#REF!="Leve"),CONCATENATE("R",'Mapa final'!#REF!),"")</f>
        <v>#REF!</v>
      </c>
      <c r="M24" s="240"/>
      <c r="N24" s="240" t="e">
        <f>IF(AND('Mapa final'!#REF!="Media",'Mapa final'!#REF!="Leve"),CONCATENATE("R",'Mapa final'!#REF!),"")</f>
        <v>#REF!</v>
      </c>
      <c r="O24" s="241"/>
      <c r="P24" s="239" t="e">
        <f>IF(AND('Mapa final'!#REF!="Media",'Mapa final'!#REF!="Menor"),CONCATENATE("R",'Mapa final'!#REF!),"")</f>
        <v>#REF!</v>
      </c>
      <c r="Q24" s="240"/>
      <c r="R24" s="240" t="e">
        <f>IF(AND('Mapa final'!#REF!="Media",'Mapa final'!#REF!="Menor"),CONCATENATE("R",'Mapa final'!#REF!),"")</f>
        <v>#REF!</v>
      </c>
      <c r="S24" s="240"/>
      <c r="T24" s="240" t="e">
        <f>IF(AND('Mapa final'!#REF!="Media",'Mapa final'!#REF!="Menor"),CONCATENATE("R",'Mapa final'!#REF!),"")</f>
        <v>#REF!</v>
      </c>
      <c r="U24" s="241"/>
      <c r="V24" s="239" t="e">
        <f>IF(AND('Mapa final'!#REF!="Media",'Mapa final'!#REF!="Moderado"),CONCATENATE("R",'Mapa final'!#REF!),"")</f>
        <v>#REF!</v>
      </c>
      <c r="W24" s="240"/>
      <c r="X24" s="240" t="e">
        <f>IF(AND('Mapa final'!#REF!="Media",'Mapa final'!#REF!="Moderado"),CONCATENATE("R",'Mapa final'!#REF!),"")</f>
        <v>#REF!</v>
      </c>
      <c r="Y24" s="240"/>
      <c r="Z24" s="240" t="e">
        <f>IF(AND('Mapa final'!#REF!="Media",'Mapa final'!#REF!="Moderado"),CONCATENATE("R",'Mapa final'!#REF!),"")</f>
        <v>#REF!</v>
      </c>
      <c r="AA24" s="241"/>
      <c r="AB24" s="257" t="e">
        <f>IF(AND('Mapa final'!#REF!="Media",'Mapa final'!#REF!="Mayor"),CONCATENATE("R",'Mapa final'!#REF!),"")</f>
        <v>#REF!</v>
      </c>
      <c r="AC24" s="258"/>
      <c r="AD24" s="258" t="e">
        <f>IF(AND('Mapa final'!#REF!="Media",'Mapa final'!#REF!="Mayor"),CONCATENATE("R",'Mapa final'!#REF!),"")</f>
        <v>#REF!</v>
      </c>
      <c r="AE24" s="258"/>
      <c r="AF24" s="258" t="e">
        <f>IF(AND('Mapa final'!#REF!="Media",'Mapa final'!#REF!="Mayor"),CONCATENATE("R",'Mapa final'!#REF!),"")</f>
        <v>#REF!</v>
      </c>
      <c r="AG24" s="259"/>
      <c r="AH24" s="248" t="e">
        <f>IF(AND('Mapa final'!#REF!="Media",'Mapa final'!#REF!="Catastrófico"),CONCATENATE("R",'Mapa final'!#REF!),"")</f>
        <v>#REF!</v>
      </c>
      <c r="AI24" s="249"/>
      <c r="AJ24" s="249" t="e">
        <f>IF(AND('Mapa final'!#REF!="Media",'Mapa final'!#REF!="Catastrófico"),CONCATENATE("R",'Mapa final'!#REF!),"")</f>
        <v>#REF!</v>
      </c>
      <c r="AK24" s="249"/>
      <c r="AL24" s="249" t="e">
        <f>IF(AND('Mapa final'!#REF!="Media",'Mapa final'!#REF!="Catastrófico"),CONCATENATE("R",'Mapa final'!#REF!),"")</f>
        <v>#REF!</v>
      </c>
      <c r="AM24" s="250"/>
      <c r="AN24" s="75"/>
      <c r="AO24" s="300"/>
      <c r="AP24" s="301"/>
      <c r="AQ24" s="301"/>
      <c r="AR24" s="301"/>
      <c r="AS24" s="301"/>
      <c r="AT24" s="302"/>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77"/>
      <c r="C25" s="277"/>
      <c r="D25" s="278"/>
      <c r="E25" s="270"/>
      <c r="F25" s="271"/>
      <c r="G25" s="271"/>
      <c r="H25" s="271"/>
      <c r="I25" s="272"/>
      <c r="J25" s="239"/>
      <c r="K25" s="240"/>
      <c r="L25" s="240"/>
      <c r="M25" s="240"/>
      <c r="N25" s="240"/>
      <c r="O25" s="241"/>
      <c r="P25" s="239"/>
      <c r="Q25" s="240"/>
      <c r="R25" s="240"/>
      <c r="S25" s="240"/>
      <c r="T25" s="240"/>
      <c r="U25" s="241"/>
      <c r="V25" s="239"/>
      <c r="W25" s="240"/>
      <c r="X25" s="240"/>
      <c r="Y25" s="240"/>
      <c r="Z25" s="240"/>
      <c r="AA25" s="241"/>
      <c r="AB25" s="257"/>
      <c r="AC25" s="258"/>
      <c r="AD25" s="258"/>
      <c r="AE25" s="258"/>
      <c r="AF25" s="258"/>
      <c r="AG25" s="259"/>
      <c r="AH25" s="248"/>
      <c r="AI25" s="249"/>
      <c r="AJ25" s="249"/>
      <c r="AK25" s="249"/>
      <c r="AL25" s="249"/>
      <c r="AM25" s="250"/>
      <c r="AN25" s="75"/>
      <c r="AO25" s="300"/>
      <c r="AP25" s="301"/>
      <c r="AQ25" s="301"/>
      <c r="AR25" s="301"/>
      <c r="AS25" s="301"/>
      <c r="AT25" s="30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77"/>
      <c r="C26" s="277"/>
      <c r="D26" s="278"/>
      <c r="E26" s="270"/>
      <c r="F26" s="271"/>
      <c r="G26" s="271"/>
      <c r="H26" s="271"/>
      <c r="I26" s="272"/>
      <c r="J26" s="239" t="e">
        <f>IF(AND('Mapa final'!#REF!="Media",'Mapa final'!#REF!="Leve"),CONCATENATE("R",'Mapa final'!#REF!),"")</f>
        <v>#REF!</v>
      </c>
      <c r="K26" s="240"/>
      <c r="L26" s="240" t="e">
        <f>IF(AND('Mapa final'!#REF!="Media",'Mapa final'!#REF!="Leve"),CONCATENATE("R",'Mapa final'!#REF!),"")</f>
        <v>#REF!</v>
      </c>
      <c r="M26" s="240"/>
      <c r="N26" s="240" t="e">
        <f>IF(AND('Mapa final'!#REF!="Media",'Mapa final'!#REF!="Leve"),CONCATENATE("R",'Mapa final'!#REF!),"")</f>
        <v>#REF!</v>
      </c>
      <c r="O26" s="241"/>
      <c r="P26" s="239" t="e">
        <f>IF(AND('Mapa final'!#REF!="Media",'Mapa final'!#REF!="Menor"),CONCATENATE("R",'Mapa final'!#REF!),"")</f>
        <v>#REF!</v>
      </c>
      <c r="Q26" s="240"/>
      <c r="R26" s="240" t="e">
        <f>IF(AND('Mapa final'!#REF!="Media",'Mapa final'!#REF!="Menor"),CONCATENATE("R",'Mapa final'!#REF!),"")</f>
        <v>#REF!</v>
      </c>
      <c r="S26" s="240"/>
      <c r="T26" s="240" t="e">
        <f>IF(AND('Mapa final'!#REF!="Media",'Mapa final'!#REF!="Menor"),CONCATENATE("R",'Mapa final'!#REF!),"")</f>
        <v>#REF!</v>
      </c>
      <c r="U26" s="241"/>
      <c r="V26" s="239" t="e">
        <f>IF(AND('Mapa final'!#REF!="Media",'Mapa final'!#REF!="Moderado"),CONCATENATE("R",'Mapa final'!#REF!),"")</f>
        <v>#REF!</v>
      </c>
      <c r="W26" s="240"/>
      <c r="X26" s="240" t="e">
        <f>IF(AND('Mapa final'!#REF!="Media",'Mapa final'!#REF!="Moderado"),CONCATENATE("R",'Mapa final'!#REF!),"")</f>
        <v>#REF!</v>
      </c>
      <c r="Y26" s="240"/>
      <c r="Z26" s="240" t="e">
        <f>IF(AND('Mapa final'!#REF!="Media",'Mapa final'!#REF!="Moderado"),CONCATENATE("R",'Mapa final'!#REF!),"")</f>
        <v>#REF!</v>
      </c>
      <c r="AA26" s="241"/>
      <c r="AB26" s="257" t="e">
        <f>IF(AND('Mapa final'!#REF!="Media",'Mapa final'!#REF!="Mayor"),CONCATENATE("R",'Mapa final'!#REF!),"")</f>
        <v>#REF!</v>
      </c>
      <c r="AC26" s="258"/>
      <c r="AD26" s="258" t="e">
        <f>IF(AND('Mapa final'!#REF!="Media",'Mapa final'!#REF!="Mayor"),CONCATENATE("R",'Mapa final'!#REF!),"")</f>
        <v>#REF!</v>
      </c>
      <c r="AE26" s="258"/>
      <c r="AF26" s="258" t="e">
        <f>IF(AND('Mapa final'!#REF!="Media",'Mapa final'!#REF!="Mayor"),CONCATENATE("R",'Mapa final'!#REF!),"")</f>
        <v>#REF!</v>
      </c>
      <c r="AG26" s="259"/>
      <c r="AH26" s="248" t="e">
        <f>IF(AND('Mapa final'!#REF!="Media",'Mapa final'!#REF!="Catastrófico"),CONCATENATE("R",'Mapa final'!#REF!),"")</f>
        <v>#REF!</v>
      </c>
      <c r="AI26" s="249"/>
      <c r="AJ26" s="249" t="e">
        <f>IF(AND('Mapa final'!#REF!="Media",'Mapa final'!#REF!="Catastrófico"),CONCATENATE("R",'Mapa final'!#REF!),"")</f>
        <v>#REF!</v>
      </c>
      <c r="AK26" s="249"/>
      <c r="AL26" s="249" t="e">
        <f>IF(AND('Mapa final'!#REF!="Media",'Mapa final'!#REF!="Catastrófico"),CONCATENATE("R",'Mapa final'!#REF!),"")</f>
        <v>#REF!</v>
      </c>
      <c r="AM26" s="250"/>
      <c r="AN26" s="75"/>
      <c r="AO26" s="300"/>
      <c r="AP26" s="301"/>
      <c r="AQ26" s="301"/>
      <c r="AR26" s="301"/>
      <c r="AS26" s="301"/>
      <c r="AT26" s="302"/>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77"/>
      <c r="C27" s="277"/>
      <c r="D27" s="278"/>
      <c r="E27" s="270"/>
      <c r="F27" s="271"/>
      <c r="G27" s="271"/>
      <c r="H27" s="271"/>
      <c r="I27" s="272"/>
      <c r="J27" s="239"/>
      <c r="K27" s="240"/>
      <c r="L27" s="240"/>
      <c r="M27" s="240"/>
      <c r="N27" s="240"/>
      <c r="O27" s="241"/>
      <c r="P27" s="239"/>
      <c r="Q27" s="240"/>
      <c r="R27" s="240"/>
      <c r="S27" s="240"/>
      <c r="T27" s="240"/>
      <c r="U27" s="241"/>
      <c r="V27" s="239"/>
      <c r="W27" s="240"/>
      <c r="X27" s="240"/>
      <c r="Y27" s="240"/>
      <c r="Z27" s="240"/>
      <c r="AA27" s="241"/>
      <c r="AB27" s="257"/>
      <c r="AC27" s="258"/>
      <c r="AD27" s="258"/>
      <c r="AE27" s="258"/>
      <c r="AF27" s="258"/>
      <c r="AG27" s="259"/>
      <c r="AH27" s="248"/>
      <c r="AI27" s="249"/>
      <c r="AJ27" s="249"/>
      <c r="AK27" s="249"/>
      <c r="AL27" s="249"/>
      <c r="AM27" s="250"/>
      <c r="AN27" s="75"/>
      <c r="AO27" s="300"/>
      <c r="AP27" s="301"/>
      <c r="AQ27" s="301"/>
      <c r="AR27" s="301"/>
      <c r="AS27" s="301"/>
      <c r="AT27" s="302"/>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77"/>
      <c r="C28" s="277"/>
      <c r="D28" s="278"/>
      <c r="E28" s="270"/>
      <c r="F28" s="271"/>
      <c r="G28" s="271"/>
      <c r="H28" s="271"/>
      <c r="I28" s="272"/>
      <c r="J28" s="239" t="e">
        <f>IF(AND('Mapa final'!#REF!="Media",'Mapa final'!#REF!="Leve"),CONCATENATE("R",'Mapa final'!#REF!),"")</f>
        <v>#REF!</v>
      </c>
      <c r="K28" s="240"/>
      <c r="L28" s="240" t="str">
        <f>IF(AND('Mapa final'!$L$14="Media",'Mapa final'!$P$14="Leve"),CONCATENATE("R",'Mapa final'!$A$14),"")</f>
        <v/>
      </c>
      <c r="M28" s="240"/>
      <c r="N28" s="240" t="str">
        <f>IF(AND('Mapa final'!$L$16="Media",'Mapa final'!$P$16="Leve"),CONCATENATE("R",'Mapa final'!$A$16),"")</f>
        <v/>
      </c>
      <c r="O28" s="241"/>
      <c r="P28" s="239" t="e">
        <f>IF(AND('Mapa final'!#REF!="Media",'Mapa final'!#REF!="Menor"),CONCATENATE("R",'Mapa final'!#REF!),"")</f>
        <v>#REF!</v>
      </c>
      <c r="Q28" s="240"/>
      <c r="R28" s="240" t="str">
        <f>IF(AND('Mapa final'!$L$14="Media",'Mapa final'!$P$14="Menor"),CONCATENATE("R",'Mapa final'!$A$14),"")</f>
        <v/>
      </c>
      <c r="S28" s="240"/>
      <c r="T28" s="240" t="str">
        <f>IF(AND('Mapa final'!$L$16="Media",'Mapa final'!$P$16="Menor"),CONCATENATE("R",'Mapa final'!$A$16),"")</f>
        <v/>
      </c>
      <c r="U28" s="241"/>
      <c r="V28" s="239" t="e">
        <f>IF(AND('Mapa final'!#REF!="Media",'Mapa final'!#REF!="Moderado"),CONCATENATE("R",'Mapa final'!#REF!),"")</f>
        <v>#REF!</v>
      </c>
      <c r="W28" s="240"/>
      <c r="X28" s="240" t="str">
        <f>IF(AND('Mapa final'!$L$14="Media",'Mapa final'!$P$14="Moderado"),CONCATENATE("R",'Mapa final'!$A$14),"")</f>
        <v/>
      </c>
      <c r="Y28" s="240"/>
      <c r="Z28" s="240" t="str">
        <f>IF(AND('Mapa final'!$L$16="Media",'Mapa final'!$P$16="Moderado"),CONCATENATE("R",'Mapa final'!$A$16),"")</f>
        <v/>
      </c>
      <c r="AA28" s="241"/>
      <c r="AB28" s="257" t="e">
        <f>IF(AND('Mapa final'!#REF!="Media",'Mapa final'!#REF!="Mayor"),CONCATENATE("R",'Mapa final'!#REF!),"")</f>
        <v>#REF!</v>
      </c>
      <c r="AC28" s="258"/>
      <c r="AD28" s="258" t="str">
        <f>IF(AND('Mapa final'!$L$14="Media",'Mapa final'!$P$14="Mayor"),CONCATENATE("R",'Mapa final'!$A$14),"")</f>
        <v/>
      </c>
      <c r="AE28" s="258"/>
      <c r="AF28" s="258" t="str">
        <f>IF(AND('Mapa final'!$L$16="Media",'Mapa final'!$P$16="Mayor"),CONCATENATE("R",'Mapa final'!$A$16),"")</f>
        <v/>
      </c>
      <c r="AG28" s="259"/>
      <c r="AH28" s="248" t="e">
        <f>IF(AND('Mapa final'!#REF!="Media",'Mapa final'!#REF!="Catastrófico"),CONCATENATE("R",'Mapa final'!#REF!),"")</f>
        <v>#REF!</v>
      </c>
      <c r="AI28" s="249"/>
      <c r="AJ28" s="249" t="str">
        <f>IF(AND('Mapa final'!$L$14="Media",'Mapa final'!$P$14="Catastrófico"),CONCATENATE("R",'Mapa final'!$A$14),"")</f>
        <v/>
      </c>
      <c r="AK28" s="249"/>
      <c r="AL28" s="249" t="str">
        <f>IF(AND('Mapa final'!$L$16="Media",'Mapa final'!$P$16="Catastrófico"),CONCATENATE("R",'Mapa final'!$A$16),"")</f>
        <v/>
      </c>
      <c r="AM28" s="250"/>
      <c r="AN28" s="75"/>
      <c r="AO28" s="300"/>
      <c r="AP28" s="301"/>
      <c r="AQ28" s="301"/>
      <c r="AR28" s="301"/>
      <c r="AS28" s="301"/>
      <c r="AT28" s="302"/>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77"/>
      <c r="C29" s="277"/>
      <c r="D29" s="278"/>
      <c r="E29" s="273"/>
      <c r="F29" s="274"/>
      <c r="G29" s="274"/>
      <c r="H29" s="274"/>
      <c r="I29" s="275"/>
      <c r="J29" s="239"/>
      <c r="K29" s="240"/>
      <c r="L29" s="240"/>
      <c r="M29" s="240"/>
      <c r="N29" s="240"/>
      <c r="O29" s="241"/>
      <c r="P29" s="242"/>
      <c r="Q29" s="243"/>
      <c r="R29" s="243"/>
      <c r="S29" s="243"/>
      <c r="T29" s="243"/>
      <c r="U29" s="244"/>
      <c r="V29" s="242"/>
      <c r="W29" s="243"/>
      <c r="X29" s="243"/>
      <c r="Y29" s="243"/>
      <c r="Z29" s="243"/>
      <c r="AA29" s="244"/>
      <c r="AB29" s="260"/>
      <c r="AC29" s="261"/>
      <c r="AD29" s="261"/>
      <c r="AE29" s="261"/>
      <c r="AF29" s="261"/>
      <c r="AG29" s="262"/>
      <c r="AH29" s="251"/>
      <c r="AI29" s="252"/>
      <c r="AJ29" s="252"/>
      <c r="AK29" s="252"/>
      <c r="AL29" s="252"/>
      <c r="AM29" s="253"/>
      <c r="AN29" s="75"/>
      <c r="AO29" s="303"/>
      <c r="AP29" s="304"/>
      <c r="AQ29" s="304"/>
      <c r="AR29" s="304"/>
      <c r="AS29" s="304"/>
      <c r="AT29" s="30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77"/>
      <c r="C30" s="277"/>
      <c r="D30" s="278"/>
      <c r="E30" s="267" t="s">
        <v>183</v>
      </c>
      <c r="F30" s="268"/>
      <c r="G30" s="268"/>
      <c r="H30" s="268"/>
      <c r="I30" s="268"/>
      <c r="J30" s="236" t="e">
        <f>IF(AND('Mapa final'!#REF!="Baja",'Mapa final'!#REF!="Leve"),CONCATENATE("R",'Mapa final'!#REF!),"")</f>
        <v>#REF!</v>
      </c>
      <c r="K30" s="237"/>
      <c r="L30" s="237" t="str">
        <f>IF(AND('Mapa final'!$L$11="Baja",'Mapa final'!$P$11="Leve"),CONCATENATE("R",'Mapa final'!$A$11),"")</f>
        <v/>
      </c>
      <c r="M30" s="237"/>
      <c r="N30" s="237" t="e">
        <f>IF(AND('Mapa final'!#REF!="Baja",'Mapa final'!#REF!="Leve"),CONCATENATE("R",'Mapa final'!#REF!),"")</f>
        <v>#REF!</v>
      </c>
      <c r="O30" s="238"/>
      <c r="P30" s="246" t="e">
        <f>IF(AND('Mapa final'!#REF!="Baja",'Mapa final'!#REF!="Menor"),CONCATENATE("R",'Mapa final'!#REF!),"")</f>
        <v>#REF!</v>
      </c>
      <c r="Q30" s="246"/>
      <c r="R30" s="246" t="str">
        <f>IF(AND('Mapa final'!$L$11="Baja",'Mapa final'!$P$11="Menor"),CONCATENATE("R",'Mapa final'!$A$11),"")</f>
        <v/>
      </c>
      <c r="S30" s="246"/>
      <c r="T30" s="246" t="e">
        <f>IF(AND('Mapa final'!#REF!="Baja",'Mapa final'!#REF!="Menor"),CONCATENATE("R",'Mapa final'!#REF!),"")</f>
        <v>#REF!</v>
      </c>
      <c r="U30" s="247"/>
      <c r="V30" s="245" t="e">
        <f>IF(AND('Mapa final'!#REF!="Baja",'Mapa final'!#REF!="Moderado"),CONCATENATE("R",'Mapa final'!#REF!),"")</f>
        <v>#REF!</v>
      </c>
      <c r="W30" s="246"/>
      <c r="X30" s="246" t="str">
        <f>IF(AND('Mapa final'!$L$11="Baja",'Mapa final'!$P$11="Moderado"),CONCATENATE("R",'Mapa final'!$A$11),"")</f>
        <v>R1</v>
      </c>
      <c r="Y30" s="246"/>
      <c r="Z30" s="246" t="e">
        <f>IF(AND('Mapa final'!#REF!="Baja",'Mapa final'!#REF!="Moderado"),CONCATENATE("R",'Mapa final'!#REF!),"")</f>
        <v>#REF!</v>
      </c>
      <c r="AA30" s="247"/>
      <c r="AB30" s="263" t="e">
        <f>IF(AND('Mapa final'!#REF!="Baja",'Mapa final'!#REF!="Mayor"),CONCATENATE("R",'Mapa final'!#REF!),"")</f>
        <v>#REF!</v>
      </c>
      <c r="AC30" s="264"/>
      <c r="AD30" s="264" t="str">
        <f>IF(AND('Mapa final'!$L$11="Baja",'Mapa final'!$P$11="Mayor"),CONCATENATE("R",'Mapa final'!$A$11),"")</f>
        <v/>
      </c>
      <c r="AE30" s="264"/>
      <c r="AF30" s="264" t="e">
        <f>IF(AND('Mapa final'!#REF!="Baja",'Mapa final'!#REF!="Mayor"),CONCATENATE("R",'Mapa final'!#REF!),"")</f>
        <v>#REF!</v>
      </c>
      <c r="AG30" s="265"/>
      <c r="AH30" s="254" t="e">
        <f>IF(AND('Mapa final'!#REF!="Baja",'Mapa final'!#REF!="Catastrófico"),CONCATENATE("R",'Mapa final'!#REF!),"")</f>
        <v>#REF!</v>
      </c>
      <c r="AI30" s="255"/>
      <c r="AJ30" s="255" t="str">
        <f>IF(AND('Mapa final'!$L$11="Baja",'Mapa final'!$P$11="Catastrófico"),CONCATENATE("R",'Mapa final'!$A$11),"")</f>
        <v/>
      </c>
      <c r="AK30" s="255"/>
      <c r="AL30" s="255" t="e">
        <f>IF(AND('Mapa final'!#REF!="Baja",'Mapa final'!#REF!="Catastrófico"),CONCATENATE("R",'Mapa final'!#REF!),"")</f>
        <v>#REF!</v>
      </c>
      <c r="AM30" s="256"/>
      <c r="AN30" s="75"/>
      <c r="AO30" s="306" t="s">
        <v>184</v>
      </c>
      <c r="AP30" s="307"/>
      <c r="AQ30" s="307"/>
      <c r="AR30" s="307"/>
      <c r="AS30" s="307"/>
      <c r="AT30" s="308"/>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77"/>
      <c r="C31" s="277"/>
      <c r="D31" s="278"/>
      <c r="E31" s="270"/>
      <c r="F31" s="271"/>
      <c r="G31" s="271"/>
      <c r="H31" s="271"/>
      <c r="I31" s="271"/>
      <c r="J31" s="230"/>
      <c r="K31" s="231"/>
      <c r="L31" s="231"/>
      <c r="M31" s="231"/>
      <c r="N31" s="231"/>
      <c r="O31" s="232"/>
      <c r="P31" s="240"/>
      <c r="Q31" s="240"/>
      <c r="R31" s="240"/>
      <c r="S31" s="240"/>
      <c r="T31" s="240"/>
      <c r="U31" s="241"/>
      <c r="V31" s="239"/>
      <c r="W31" s="240"/>
      <c r="X31" s="240"/>
      <c r="Y31" s="240"/>
      <c r="Z31" s="240"/>
      <c r="AA31" s="241"/>
      <c r="AB31" s="257"/>
      <c r="AC31" s="258"/>
      <c r="AD31" s="258"/>
      <c r="AE31" s="258"/>
      <c r="AF31" s="258"/>
      <c r="AG31" s="259"/>
      <c r="AH31" s="248"/>
      <c r="AI31" s="249"/>
      <c r="AJ31" s="249"/>
      <c r="AK31" s="249"/>
      <c r="AL31" s="249"/>
      <c r="AM31" s="250"/>
      <c r="AN31" s="75"/>
      <c r="AO31" s="309"/>
      <c r="AP31" s="310"/>
      <c r="AQ31" s="310"/>
      <c r="AR31" s="310"/>
      <c r="AS31" s="310"/>
      <c r="AT31" s="31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77"/>
      <c r="C32" s="277"/>
      <c r="D32" s="278"/>
      <c r="E32" s="270"/>
      <c r="F32" s="271"/>
      <c r="G32" s="271"/>
      <c r="H32" s="271"/>
      <c r="I32" s="271"/>
      <c r="J32" s="230" t="e">
        <f>IF(AND('Mapa final'!#REF!="Baja",'Mapa final'!#REF!="Leve"),CONCATENATE("R",'Mapa final'!#REF!),"")</f>
        <v>#REF!</v>
      </c>
      <c r="K32" s="231"/>
      <c r="L32" s="231" t="e">
        <f>IF(AND('Mapa final'!#REF!="Baja",'Mapa final'!#REF!="Leve"),CONCATENATE("R",'Mapa final'!#REF!),"")</f>
        <v>#REF!</v>
      </c>
      <c r="M32" s="231"/>
      <c r="N32" s="231" t="e">
        <f>IF(AND('Mapa final'!#REF!="Baja",'Mapa final'!#REF!="Leve"),CONCATENATE("R",'Mapa final'!#REF!),"")</f>
        <v>#REF!</v>
      </c>
      <c r="O32" s="232"/>
      <c r="P32" s="240" t="e">
        <f>IF(AND('Mapa final'!#REF!="Baja",'Mapa final'!#REF!="Menor"),CONCATENATE("R",'Mapa final'!#REF!),"")</f>
        <v>#REF!</v>
      </c>
      <c r="Q32" s="240"/>
      <c r="R32" s="240" t="e">
        <f>IF(AND('Mapa final'!#REF!="Baja",'Mapa final'!#REF!="Menor"),CONCATENATE("R",'Mapa final'!#REF!),"")</f>
        <v>#REF!</v>
      </c>
      <c r="S32" s="240"/>
      <c r="T32" s="240" t="e">
        <f>IF(AND('Mapa final'!#REF!="Baja",'Mapa final'!#REF!="Menor"),CONCATENATE("R",'Mapa final'!#REF!),"")</f>
        <v>#REF!</v>
      </c>
      <c r="U32" s="241"/>
      <c r="V32" s="239" t="e">
        <f>IF(AND('Mapa final'!#REF!="Baja",'Mapa final'!#REF!="Moderado"),CONCATENATE("R",'Mapa final'!#REF!),"")</f>
        <v>#REF!</v>
      </c>
      <c r="W32" s="240"/>
      <c r="X32" s="240" t="e">
        <f>IF(AND('Mapa final'!#REF!="Baja",'Mapa final'!#REF!="Moderado"),CONCATENATE("R",'Mapa final'!#REF!),"")</f>
        <v>#REF!</v>
      </c>
      <c r="Y32" s="240"/>
      <c r="Z32" s="240" t="e">
        <f>IF(AND('Mapa final'!#REF!="Baja",'Mapa final'!#REF!="Moderado"),CONCATENATE("R",'Mapa final'!#REF!),"")</f>
        <v>#REF!</v>
      </c>
      <c r="AA32" s="241"/>
      <c r="AB32" s="257" t="e">
        <f>IF(AND('Mapa final'!#REF!="Baja",'Mapa final'!#REF!="Mayor"),CONCATENATE("R",'Mapa final'!#REF!),"")</f>
        <v>#REF!</v>
      </c>
      <c r="AC32" s="258"/>
      <c r="AD32" s="258" t="e">
        <f>IF(AND('Mapa final'!#REF!="Baja",'Mapa final'!#REF!="Mayor"),CONCATENATE("R",'Mapa final'!#REF!),"")</f>
        <v>#REF!</v>
      </c>
      <c r="AE32" s="258"/>
      <c r="AF32" s="258" t="e">
        <f>IF(AND('Mapa final'!#REF!="Baja",'Mapa final'!#REF!="Mayor"),CONCATENATE("R",'Mapa final'!#REF!),"")</f>
        <v>#REF!</v>
      </c>
      <c r="AG32" s="259"/>
      <c r="AH32" s="248" t="e">
        <f>IF(AND('Mapa final'!#REF!="Baja",'Mapa final'!#REF!="Catastrófico"),CONCATENATE("R",'Mapa final'!#REF!),"")</f>
        <v>#REF!</v>
      </c>
      <c r="AI32" s="249"/>
      <c r="AJ32" s="249" t="e">
        <f>IF(AND('Mapa final'!#REF!="Baja",'Mapa final'!#REF!="Catastrófico"),CONCATENATE("R",'Mapa final'!#REF!),"")</f>
        <v>#REF!</v>
      </c>
      <c r="AK32" s="249"/>
      <c r="AL32" s="249" t="e">
        <f>IF(AND('Mapa final'!#REF!="Baja",'Mapa final'!#REF!="Catastrófico"),CONCATENATE("R",'Mapa final'!#REF!),"")</f>
        <v>#REF!</v>
      </c>
      <c r="AM32" s="250"/>
      <c r="AN32" s="75"/>
      <c r="AO32" s="309"/>
      <c r="AP32" s="310"/>
      <c r="AQ32" s="310"/>
      <c r="AR32" s="310"/>
      <c r="AS32" s="310"/>
      <c r="AT32" s="31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77"/>
      <c r="C33" s="277"/>
      <c r="D33" s="278"/>
      <c r="E33" s="270"/>
      <c r="F33" s="271"/>
      <c r="G33" s="271"/>
      <c r="H33" s="271"/>
      <c r="I33" s="271"/>
      <c r="J33" s="230"/>
      <c r="K33" s="231"/>
      <c r="L33" s="231"/>
      <c r="M33" s="231"/>
      <c r="N33" s="231"/>
      <c r="O33" s="232"/>
      <c r="P33" s="240"/>
      <c r="Q33" s="240"/>
      <c r="R33" s="240"/>
      <c r="S33" s="240"/>
      <c r="T33" s="240"/>
      <c r="U33" s="241"/>
      <c r="V33" s="239"/>
      <c r="W33" s="240"/>
      <c r="X33" s="240"/>
      <c r="Y33" s="240"/>
      <c r="Z33" s="240"/>
      <c r="AA33" s="241"/>
      <c r="AB33" s="257"/>
      <c r="AC33" s="258"/>
      <c r="AD33" s="258"/>
      <c r="AE33" s="258"/>
      <c r="AF33" s="258"/>
      <c r="AG33" s="259"/>
      <c r="AH33" s="248"/>
      <c r="AI33" s="249"/>
      <c r="AJ33" s="249"/>
      <c r="AK33" s="249"/>
      <c r="AL33" s="249"/>
      <c r="AM33" s="250"/>
      <c r="AN33" s="75"/>
      <c r="AO33" s="309"/>
      <c r="AP33" s="310"/>
      <c r="AQ33" s="310"/>
      <c r="AR33" s="310"/>
      <c r="AS33" s="310"/>
      <c r="AT33" s="31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77"/>
      <c r="C34" s="277"/>
      <c r="D34" s="278"/>
      <c r="E34" s="270"/>
      <c r="F34" s="271"/>
      <c r="G34" s="271"/>
      <c r="H34" s="271"/>
      <c r="I34" s="271"/>
      <c r="J34" s="230" t="e">
        <f>IF(AND('Mapa final'!#REF!="Baja",'Mapa final'!#REF!="Leve"),CONCATENATE("R",'Mapa final'!#REF!),"")</f>
        <v>#REF!</v>
      </c>
      <c r="K34" s="231"/>
      <c r="L34" s="231" t="e">
        <f>IF(AND('Mapa final'!#REF!="Baja",'Mapa final'!#REF!="Leve"),CONCATENATE("R",'Mapa final'!#REF!),"")</f>
        <v>#REF!</v>
      </c>
      <c r="M34" s="231"/>
      <c r="N34" s="231" t="e">
        <f>IF(AND('Mapa final'!#REF!="Baja",'Mapa final'!#REF!="Leve"),CONCATENATE("R",'Mapa final'!#REF!),"")</f>
        <v>#REF!</v>
      </c>
      <c r="O34" s="232"/>
      <c r="P34" s="240" t="e">
        <f>IF(AND('Mapa final'!#REF!="Baja",'Mapa final'!#REF!="Menor"),CONCATENATE("R",'Mapa final'!#REF!),"")</f>
        <v>#REF!</v>
      </c>
      <c r="Q34" s="240"/>
      <c r="R34" s="240" t="e">
        <f>IF(AND('Mapa final'!#REF!="Baja",'Mapa final'!#REF!="Menor"),CONCATENATE("R",'Mapa final'!#REF!),"")</f>
        <v>#REF!</v>
      </c>
      <c r="S34" s="240"/>
      <c r="T34" s="240" t="e">
        <f>IF(AND('Mapa final'!#REF!="Baja",'Mapa final'!#REF!="Menor"),CONCATENATE("R",'Mapa final'!#REF!),"")</f>
        <v>#REF!</v>
      </c>
      <c r="U34" s="241"/>
      <c r="V34" s="239" t="e">
        <f>IF(AND('Mapa final'!#REF!="Baja",'Mapa final'!#REF!="Moderado"),CONCATENATE("R",'Mapa final'!#REF!),"")</f>
        <v>#REF!</v>
      </c>
      <c r="W34" s="240"/>
      <c r="X34" s="240" t="e">
        <f>IF(AND('Mapa final'!#REF!="Baja",'Mapa final'!#REF!="Moderado"),CONCATENATE("R",'Mapa final'!#REF!),"")</f>
        <v>#REF!</v>
      </c>
      <c r="Y34" s="240"/>
      <c r="Z34" s="240" t="e">
        <f>IF(AND('Mapa final'!#REF!="Baja",'Mapa final'!#REF!="Moderado"),CONCATENATE("R",'Mapa final'!#REF!),"")</f>
        <v>#REF!</v>
      </c>
      <c r="AA34" s="241"/>
      <c r="AB34" s="257" t="e">
        <f>IF(AND('Mapa final'!#REF!="Baja",'Mapa final'!#REF!="Mayor"),CONCATENATE("R",'Mapa final'!#REF!),"")</f>
        <v>#REF!</v>
      </c>
      <c r="AC34" s="258"/>
      <c r="AD34" s="258" t="e">
        <f>IF(AND('Mapa final'!#REF!="Baja",'Mapa final'!#REF!="Mayor"),CONCATENATE("R",'Mapa final'!#REF!),"")</f>
        <v>#REF!</v>
      </c>
      <c r="AE34" s="258"/>
      <c r="AF34" s="258" t="e">
        <f>IF(AND('Mapa final'!#REF!="Baja",'Mapa final'!#REF!="Mayor"),CONCATENATE("R",'Mapa final'!#REF!),"")</f>
        <v>#REF!</v>
      </c>
      <c r="AG34" s="259"/>
      <c r="AH34" s="248" t="e">
        <f>IF(AND('Mapa final'!#REF!="Baja",'Mapa final'!#REF!="Catastrófico"),CONCATENATE("R",'Mapa final'!#REF!),"")</f>
        <v>#REF!</v>
      </c>
      <c r="AI34" s="249"/>
      <c r="AJ34" s="249" t="e">
        <f>IF(AND('Mapa final'!#REF!="Baja",'Mapa final'!#REF!="Catastrófico"),CONCATENATE("R",'Mapa final'!#REF!),"")</f>
        <v>#REF!</v>
      </c>
      <c r="AK34" s="249"/>
      <c r="AL34" s="249" t="e">
        <f>IF(AND('Mapa final'!#REF!="Baja",'Mapa final'!#REF!="Catastrófico"),CONCATENATE("R",'Mapa final'!#REF!),"")</f>
        <v>#REF!</v>
      </c>
      <c r="AM34" s="250"/>
      <c r="AN34" s="75"/>
      <c r="AO34" s="309"/>
      <c r="AP34" s="310"/>
      <c r="AQ34" s="310"/>
      <c r="AR34" s="310"/>
      <c r="AS34" s="310"/>
      <c r="AT34" s="31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77"/>
      <c r="C35" s="277"/>
      <c r="D35" s="278"/>
      <c r="E35" s="270"/>
      <c r="F35" s="271"/>
      <c r="G35" s="271"/>
      <c r="H35" s="271"/>
      <c r="I35" s="271"/>
      <c r="J35" s="230"/>
      <c r="K35" s="231"/>
      <c r="L35" s="231"/>
      <c r="M35" s="231"/>
      <c r="N35" s="231"/>
      <c r="O35" s="232"/>
      <c r="P35" s="240"/>
      <c r="Q35" s="240"/>
      <c r="R35" s="240"/>
      <c r="S35" s="240"/>
      <c r="T35" s="240"/>
      <c r="U35" s="241"/>
      <c r="V35" s="239"/>
      <c r="W35" s="240"/>
      <c r="X35" s="240"/>
      <c r="Y35" s="240"/>
      <c r="Z35" s="240"/>
      <c r="AA35" s="241"/>
      <c r="AB35" s="257"/>
      <c r="AC35" s="258"/>
      <c r="AD35" s="258"/>
      <c r="AE35" s="258"/>
      <c r="AF35" s="258"/>
      <c r="AG35" s="259"/>
      <c r="AH35" s="248"/>
      <c r="AI35" s="249"/>
      <c r="AJ35" s="249"/>
      <c r="AK35" s="249"/>
      <c r="AL35" s="249"/>
      <c r="AM35" s="250"/>
      <c r="AN35" s="75"/>
      <c r="AO35" s="309"/>
      <c r="AP35" s="310"/>
      <c r="AQ35" s="310"/>
      <c r="AR35" s="310"/>
      <c r="AS35" s="310"/>
      <c r="AT35" s="311"/>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77"/>
      <c r="C36" s="277"/>
      <c r="D36" s="278"/>
      <c r="E36" s="270"/>
      <c r="F36" s="271"/>
      <c r="G36" s="271"/>
      <c r="H36" s="271"/>
      <c r="I36" s="271"/>
      <c r="J36" s="230" t="e">
        <f>IF(AND('Mapa final'!#REF!="Baja",'Mapa final'!#REF!="Leve"),CONCATENATE("R",'Mapa final'!#REF!),"")</f>
        <v>#REF!</v>
      </c>
      <c r="K36" s="231"/>
      <c r="L36" s="231" t="str">
        <f>IF(AND('Mapa final'!$L$14="Baja",'Mapa final'!$P$14="Leve"),CONCATENATE("R",'Mapa final'!$A$14),"")</f>
        <v/>
      </c>
      <c r="M36" s="231"/>
      <c r="N36" s="231" t="str">
        <f>IF(AND('Mapa final'!$L$16="Baja",'Mapa final'!$P$16="Leve"),CONCATENATE("R",'Mapa final'!$A$16),"")</f>
        <v/>
      </c>
      <c r="O36" s="232"/>
      <c r="P36" s="240" t="e">
        <f>IF(AND('Mapa final'!#REF!="Baja",'Mapa final'!#REF!="Menor"),CONCATENATE("R",'Mapa final'!#REF!),"")</f>
        <v>#REF!</v>
      </c>
      <c r="Q36" s="240"/>
      <c r="R36" s="240" t="str">
        <f>IF(AND('Mapa final'!$L$14="Baja",'Mapa final'!$P$14="Menor"),CONCATENATE("R",'Mapa final'!$A$14),"")</f>
        <v/>
      </c>
      <c r="S36" s="240"/>
      <c r="T36" s="240" t="str">
        <f>IF(AND('Mapa final'!$L$16="Baja",'Mapa final'!$P$16="Menor"),CONCATENATE("R",'Mapa final'!$A$16),"")</f>
        <v/>
      </c>
      <c r="U36" s="241"/>
      <c r="V36" s="239" t="e">
        <f>IF(AND('Mapa final'!#REF!="Baja",'Mapa final'!#REF!="Moderado"),CONCATENATE("R",'Mapa final'!#REF!),"")</f>
        <v>#REF!</v>
      </c>
      <c r="W36" s="240"/>
      <c r="X36" s="240" t="str">
        <f>IF(AND('Mapa final'!$L$14="Baja",'Mapa final'!$P$14="Moderado"),CONCATENATE("R",'Mapa final'!$A$14),"")</f>
        <v/>
      </c>
      <c r="Y36" s="240"/>
      <c r="Z36" s="240" t="str">
        <f>IF(AND('Mapa final'!$L$16="Baja",'Mapa final'!$P$16="Moderado"),CONCATENATE("R",'Mapa final'!$A$16),"")</f>
        <v/>
      </c>
      <c r="AA36" s="241"/>
      <c r="AB36" s="257" t="e">
        <f>IF(AND('Mapa final'!#REF!="Baja",'Mapa final'!#REF!="Mayor"),CONCATENATE("R",'Mapa final'!#REF!),"")</f>
        <v>#REF!</v>
      </c>
      <c r="AC36" s="258"/>
      <c r="AD36" s="258" t="str">
        <f>IF(AND('Mapa final'!$L$14="Baja",'Mapa final'!$P$14="Mayor"),CONCATENATE("R",'Mapa final'!$A$14),"")</f>
        <v/>
      </c>
      <c r="AE36" s="258"/>
      <c r="AF36" s="258" t="str">
        <f>IF(AND('Mapa final'!$L$16="Baja",'Mapa final'!$P$16="Mayor"),CONCATENATE("R",'Mapa final'!$A$16),"")</f>
        <v/>
      </c>
      <c r="AG36" s="259"/>
      <c r="AH36" s="248" t="e">
        <f>IF(AND('Mapa final'!#REF!="Baja",'Mapa final'!#REF!="Catastrófico"),CONCATENATE("R",'Mapa final'!#REF!),"")</f>
        <v>#REF!</v>
      </c>
      <c r="AI36" s="249"/>
      <c r="AJ36" s="249" t="str">
        <f>IF(AND('Mapa final'!$L$14="Baja",'Mapa final'!$P$14="Catastrófico"),CONCATENATE("R",'Mapa final'!$A$14),"")</f>
        <v/>
      </c>
      <c r="AK36" s="249"/>
      <c r="AL36" s="249" t="str">
        <f>IF(AND('Mapa final'!$L$16="Baja",'Mapa final'!$P$16="Catastrófico"),CONCATENATE("R",'Mapa final'!$A$16),"")</f>
        <v/>
      </c>
      <c r="AM36" s="250"/>
      <c r="AN36" s="75"/>
      <c r="AO36" s="309"/>
      <c r="AP36" s="310"/>
      <c r="AQ36" s="310"/>
      <c r="AR36" s="310"/>
      <c r="AS36" s="310"/>
      <c r="AT36" s="31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77"/>
      <c r="C37" s="277"/>
      <c r="D37" s="278"/>
      <c r="E37" s="273"/>
      <c r="F37" s="274"/>
      <c r="G37" s="274"/>
      <c r="H37" s="274"/>
      <c r="I37" s="274"/>
      <c r="J37" s="233"/>
      <c r="K37" s="234"/>
      <c r="L37" s="234"/>
      <c r="M37" s="234"/>
      <c r="N37" s="234"/>
      <c r="O37" s="235"/>
      <c r="P37" s="243"/>
      <c r="Q37" s="243"/>
      <c r="R37" s="243"/>
      <c r="S37" s="243"/>
      <c r="T37" s="243"/>
      <c r="U37" s="244"/>
      <c r="V37" s="242"/>
      <c r="W37" s="243"/>
      <c r="X37" s="243"/>
      <c r="Y37" s="243"/>
      <c r="Z37" s="243"/>
      <c r="AA37" s="244"/>
      <c r="AB37" s="260"/>
      <c r="AC37" s="261"/>
      <c r="AD37" s="261"/>
      <c r="AE37" s="261"/>
      <c r="AF37" s="261"/>
      <c r="AG37" s="262"/>
      <c r="AH37" s="251"/>
      <c r="AI37" s="252"/>
      <c r="AJ37" s="252"/>
      <c r="AK37" s="252"/>
      <c r="AL37" s="252"/>
      <c r="AM37" s="253"/>
      <c r="AN37" s="75"/>
      <c r="AO37" s="312"/>
      <c r="AP37" s="313"/>
      <c r="AQ37" s="313"/>
      <c r="AR37" s="313"/>
      <c r="AS37" s="313"/>
      <c r="AT37" s="31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77"/>
      <c r="C38" s="277"/>
      <c r="D38" s="278"/>
      <c r="E38" s="267" t="s">
        <v>185</v>
      </c>
      <c r="F38" s="268"/>
      <c r="G38" s="268"/>
      <c r="H38" s="268"/>
      <c r="I38" s="269"/>
      <c r="J38" s="236" t="e">
        <f>IF(AND('Mapa final'!#REF!="Muy Baja",'Mapa final'!#REF!="Leve"),CONCATENATE("R",'Mapa final'!#REF!),"")</f>
        <v>#REF!</v>
      </c>
      <c r="K38" s="237"/>
      <c r="L38" s="237" t="str">
        <f>IF(AND('Mapa final'!$L$11="Muy Baja",'Mapa final'!$P$11="Leve"),CONCATENATE("R",'Mapa final'!$A$11),"")</f>
        <v/>
      </c>
      <c r="M38" s="237"/>
      <c r="N38" s="237" t="e">
        <f>IF(AND('Mapa final'!#REF!="Muy Baja",'Mapa final'!#REF!="Leve"),CONCATENATE("R",'Mapa final'!#REF!),"")</f>
        <v>#REF!</v>
      </c>
      <c r="O38" s="238"/>
      <c r="P38" s="236" t="e">
        <f>IF(AND('Mapa final'!#REF!="Muy Baja",'Mapa final'!#REF!="Menor"),CONCATENATE("R",'Mapa final'!#REF!),"")</f>
        <v>#REF!</v>
      </c>
      <c r="Q38" s="237"/>
      <c r="R38" s="237" t="str">
        <f>IF(AND('Mapa final'!$L$11="Muy Baja",'Mapa final'!$P$11="Menor"),CONCATENATE("R",'Mapa final'!$A$11),"")</f>
        <v/>
      </c>
      <c r="S38" s="237"/>
      <c r="T38" s="237" t="e">
        <f>IF(AND('Mapa final'!#REF!="Muy Baja",'Mapa final'!#REF!="Menor"),CONCATENATE("R",'Mapa final'!#REF!),"")</f>
        <v>#REF!</v>
      </c>
      <c r="U38" s="238"/>
      <c r="V38" s="245" t="e">
        <f>IF(AND('Mapa final'!#REF!="Muy Baja",'Mapa final'!#REF!="Moderado"),CONCATENATE("R",'Mapa final'!#REF!),"")</f>
        <v>#REF!</v>
      </c>
      <c r="W38" s="246"/>
      <c r="X38" s="246" t="str">
        <f>IF(AND('Mapa final'!$L$11="Muy Baja",'Mapa final'!$P$11="Moderado"),CONCATENATE("R",'Mapa final'!$A$11),"")</f>
        <v/>
      </c>
      <c r="Y38" s="246"/>
      <c r="Z38" s="246" t="e">
        <f>IF(AND('Mapa final'!#REF!="Muy Baja",'Mapa final'!#REF!="Moderado"),CONCATENATE("R",'Mapa final'!#REF!),"")</f>
        <v>#REF!</v>
      </c>
      <c r="AA38" s="247"/>
      <c r="AB38" s="263" t="e">
        <f>IF(AND('Mapa final'!#REF!="Muy Baja",'Mapa final'!#REF!="Mayor"),CONCATENATE("R",'Mapa final'!#REF!),"")</f>
        <v>#REF!</v>
      </c>
      <c r="AC38" s="264"/>
      <c r="AD38" s="264" t="str">
        <f>IF(AND('Mapa final'!$L$11="Muy Baja",'Mapa final'!$P$11="Mayor"),CONCATENATE("R",'Mapa final'!$A$11),"")</f>
        <v/>
      </c>
      <c r="AE38" s="264"/>
      <c r="AF38" s="264" t="e">
        <f>IF(AND('Mapa final'!#REF!="Muy Baja",'Mapa final'!#REF!="Mayor"),CONCATENATE("R",'Mapa final'!#REF!),"")</f>
        <v>#REF!</v>
      </c>
      <c r="AG38" s="265"/>
      <c r="AH38" s="254" t="e">
        <f>IF(AND('Mapa final'!#REF!="Muy Baja",'Mapa final'!#REF!="Catastrófico"),CONCATENATE("R",'Mapa final'!#REF!),"")</f>
        <v>#REF!</v>
      </c>
      <c r="AI38" s="255"/>
      <c r="AJ38" s="255" t="str">
        <f>IF(AND('Mapa final'!$L$11="Muy Baja",'Mapa final'!$P$11="Catastrófico"),CONCATENATE("R",'Mapa final'!$A$11),"")</f>
        <v/>
      </c>
      <c r="AK38" s="255"/>
      <c r="AL38" s="255" t="e">
        <f>IF(AND('Mapa final'!#REF!="Muy Baja",'Mapa final'!#REF!="Catastrófico"),CONCATENATE("R",'Mapa final'!#REF!),"")</f>
        <v>#REF!</v>
      </c>
      <c r="AM38" s="256"/>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77"/>
      <c r="C39" s="277"/>
      <c r="D39" s="278"/>
      <c r="E39" s="270"/>
      <c r="F39" s="271"/>
      <c r="G39" s="271"/>
      <c r="H39" s="271"/>
      <c r="I39" s="272"/>
      <c r="J39" s="230"/>
      <c r="K39" s="231"/>
      <c r="L39" s="231"/>
      <c r="M39" s="231"/>
      <c r="N39" s="231"/>
      <c r="O39" s="232"/>
      <c r="P39" s="230"/>
      <c r="Q39" s="231"/>
      <c r="R39" s="231"/>
      <c r="S39" s="231"/>
      <c r="T39" s="231"/>
      <c r="U39" s="232"/>
      <c r="V39" s="239"/>
      <c r="W39" s="240"/>
      <c r="X39" s="240"/>
      <c r="Y39" s="240"/>
      <c r="Z39" s="240"/>
      <c r="AA39" s="241"/>
      <c r="AB39" s="257"/>
      <c r="AC39" s="258"/>
      <c r="AD39" s="258"/>
      <c r="AE39" s="258"/>
      <c r="AF39" s="258"/>
      <c r="AG39" s="259"/>
      <c r="AH39" s="248"/>
      <c r="AI39" s="249"/>
      <c r="AJ39" s="249"/>
      <c r="AK39" s="249"/>
      <c r="AL39" s="249"/>
      <c r="AM39" s="250"/>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77"/>
      <c r="C40" s="277"/>
      <c r="D40" s="278"/>
      <c r="E40" s="270"/>
      <c r="F40" s="271"/>
      <c r="G40" s="271"/>
      <c r="H40" s="271"/>
      <c r="I40" s="272"/>
      <c r="J40" s="230" t="e">
        <f>IF(AND('Mapa final'!#REF!="Muy Baja",'Mapa final'!#REF!="Leve"),CONCATENATE("R",'Mapa final'!#REF!),"")</f>
        <v>#REF!</v>
      </c>
      <c r="K40" s="231"/>
      <c r="L40" s="231" t="e">
        <f>IF(AND('Mapa final'!#REF!="Muy Baja",'Mapa final'!#REF!="Leve"),CONCATENATE("R",'Mapa final'!#REF!),"")</f>
        <v>#REF!</v>
      </c>
      <c r="M40" s="231"/>
      <c r="N40" s="231" t="e">
        <f>IF(AND('Mapa final'!#REF!="Muy Baja",'Mapa final'!#REF!="Leve"),CONCATENATE("R",'Mapa final'!#REF!),"")</f>
        <v>#REF!</v>
      </c>
      <c r="O40" s="232"/>
      <c r="P40" s="230" t="e">
        <f>IF(AND('Mapa final'!#REF!="Muy Baja",'Mapa final'!#REF!="Menor"),CONCATENATE("R",'Mapa final'!#REF!),"")</f>
        <v>#REF!</v>
      </c>
      <c r="Q40" s="231"/>
      <c r="R40" s="231" t="e">
        <f>IF(AND('Mapa final'!#REF!="Muy Baja",'Mapa final'!#REF!="Menor"),CONCATENATE("R",'Mapa final'!#REF!),"")</f>
        <v>#REF!</v>
      </c>
      <c r="S40" s="231"/>
      <c r="T40" s="231" t="e">
        <f>IF(AND('Mapa final'!#REF!="Muy Baja",'Mapa final'!#REF!="Menor"),CONCATENATE("R",'Mapa final'!#REF!),"")</f>
        <v>#REF!</v>
      </c>
      <c r="U40" s="232"/>
      <c r="V40" s="239" t="e">
        <f>IF(AND('Mapa final'!#REF!="Muy Baja",'Mapa final'!#REF!="Moderado"),CONCATENATE("R",'Mapa final'!#REF!),"")</f>
        <v>#REF!</v>
      </c>
      <c r="W40" s="240"/>
      <c r="X40" s="240" t="e">
        <f>IF(AND('Mapa final'!#REF!="Muy Baja",'Mapa final'!#REF!="Moderado"),CONCATENATE("R",'Mapa final'!#REF!),"")</f>
        <v>#REF!</v>
      </c>
      <c r="Y40" s="240"/>
      <c r="Z40" s="240" t="e">
        <f>IF(AND('Mapa final'!#REF!="Muy Baja",'Mapa final'!#REF!="Moderado"),CONCATENATE("R",'Mapa final'!#REF!),"")</f>
        <v>#REF!</v>
      </c>
      <c r="AA40" s="241"/>
      <c r="AB40" s="257" t="e">
        <f>IF(AND('Mapa final'!#REF!="Muy Baja",'Mapa final'!#REF!="Mayor"),CONCATENATE("R",'Mapa final'!#REF!),"")</f>
        <v>#REF!</v>
      </c>
      <c r="AC40" s="258"/>
      <c r="AD40" s="258" t="e">
        <f>IF(AND('Mapa final'!#REF!="Muy Baja",'Mapa final'!#REF!="Mayor"),CONCATENATE("R",'Mapa final'!#REF!),"")</f>
        <v>#REF!</v>
      </c>
      <c r="AE40" s="258"/>
      <c r="AF40" s="258" t="e">
        <f>IF(AND('Mapa final'!#REF!="Muy Baja",'Mapa final'!#REF!="Mayor"),CONCATENATE("R",'Mapa final'!#REF!),"")</f>
        <v>#REF!</v>
      </c>
      <c r="AG40" s="259"/>
      <c r="AH40" s="248" t="e">
        <f>IF(AND('Mapa final'!#REF!="Muy Baja",'Mapa final'!#REF!="Catastrófico"),CONCATENATE("R",'Mapa final'!#REF!),"")</f>
        <v>#REF!</v>
      </c>
      <c r="AI40" s="249"/>
      <c r="AJ40" s="249" t="e">
        <f>IF(AND('Mapa final'!#REF!="Muy Baja",'Mapa final'!#REF!="Catastrófico"),CONCATENATE("R",'Mapa final'!#REF!),"")</f>
        <v>#REF!</v>
      </c>
      <c r="AK40" s="249"/>
      <c r="AL40" s="249" t="e">
        <f>IF(AND('Mapa final'!#REF!="Muy Baja",'Mapa final'!#REF!="Catastrófico"),CONCATENATE("R",'Mapa final'!#REF!),"")</f>
        <v>#REF!</v>
      </c>
      <c r="AM40" s="250"/>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77"/>
      <c r="C41" s="277"/>
      <c r="D41" s="278"/>
      <c r="E41" s="270"/>
      <c r="F41" s="271"/>
      <c r="G41" s="271"/>
      <c r="H41" s="271"/>
      <c r="I41" s="272"/>
      <c r="J41" s="230"/>
      <c r="K41" s="231"/>
      <c r="L41" s="231"/>
      <c r="M41" s="231"/>
      <c r="N41" s="231"/>
      <c r="O41" s="232"/>
      <c r="P41" s="230"/>
      <c r="Q41" s="231"/>
      <c r="R41" s="231"/>
      <c r="S41" s="231"/>
      <c r="T41" s="231"/>
      <c r="U41" s="232"/>
      <c r="V41" s="239"/>
      <c r="W41" s="240"/>
      <c r="X41" s="240"/>
      <c r="Y41" s="240"/>
      <c r="Z41" s="240"/>
      <c r="AA41" s="241"/>
      <c r="AB41" s="257"/>
      <c r="AC41" s="258"/>
      <c r="AD41" s="258"/>
      <c r="AE41" s="258"/>
      <c r="AF41" s="258"/>
      <c r="AG41" s="259"/>
      <c r="AH41" s="248"/>
      <c r="AI41" s="249"/>
      <c r="AJ41" s="249"/>
      <c r="AK41" s="249"/>
      <c r="AL41" s="249"/>
      <c r="AM41" s="250"/>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77"/>
      <c r="C42" s="277"/>
      <c r="D42" s="278"/>
      <c r="E42" s="270"/>
      <c r="F42" s="271"/>
      <c r="G42" s="271"/>
      <c r="H42" s="271"/>
      <c r="I42" s="272"/>
      <c r="J42" s="230" t="e">
        <f>IF(AND('Mapa final'!#REF!="Muy Baja",'Mapa final'!#REF!="Leve"),CONCATENATE("R",'Mapa final'!#REF!),"")</f>
        <v>#REF!</v>
      </c>
      <c r="K42" s="231"/>
      <c r="L42" s="231" t="e">
        <f>IF(AND('Mapa final'!#REF!="Muy Baja",'Mapa final'!#REF!="Leve"),CONCATENATE("R",'Mapa final'!#REF!),"")</f>
        <v>#REF!</v>
      </c>
      <c r="M42" s="231"/>
      <c r="N42" s="231" t="e">
        <f>IF(AND('Mapa final'!#REF!="Muy Baja",'Mapa final'!#REF!="Leve"),CONCATENATE("R",'Mapa final'!#REF!),"")</f>
        <v>#REF!</v>
      </c>
      <c r="O42" s="232"/>
      <c r="P42" s="230" t="e">
        <f>IF(AND('Mapa final'!#REF!="Muy Baja",'Mapa final'!#REF!="Menor"),CONCATENATE("R",'Mapa final'!#REF!),"")</f>
        <v>#REF!</v>
      </c>
      <c r="Q42" s="231"/>
      <c r="R42" s="231" t="e">
        <f>IF(AND('Mapa final'!#REF!="Muy Baja",'Mapa final'!#REF!="Menor"),CONCATENATE("R",'Mapa final'!#REF!),"")</f>
        <v>#REF!</v>
      </c>
      <c r="S42" s="231"/>
      <c r="T42" s="231" t="e">
        <f>IF(AND('Mapa final'!#REF!="Muy Baja",'Mapa final'!#REF!="Menor"),CONCATENATE("R",'Mapa final'!#REF!),"")</f>
        <v>#REF!</v>
      </c>
      <c r="U42" s="232"/>
      <c r="V42" s="239" t="e">
        <f>IF(AND('Mapa final'!#REF!="Muy Baja",'Mapa final'!#REF!="Moderado"),CONCATENATE("R",'Mapa final'!#REF!),"")</f>
        <v>#REF!</v>
      </c>
      <c r="W42" s="240"/>
      <c r="X42" s="240" t="e">
        <f>IF(AND('Mapa final'!#REF!="Muy Baja",'Mapa final'!#REF!="Moderado"),CONCATENATE("R",'Mapa final'!#REF!),"")</f>
        <v>#REF!</v>
      </c>
      <c r="Y42" s="240"/>
      <c r="Z42" s="240" t="e">
        <f>IF(AND('Mapa final'!#REF!="Muy Baja",'Mapa final'!#REF!="Moderado"),CONCATENATE("R",'Mapa final'!#REF!),"")</f>
        <v>#REF!</v>
      </c>
      <c r="AA42" s="241"/>
      <c r="AB42" s="257" t="e">
        <f>IF(AND('Mapa final'!#REF!="Muy Baja",'Mapa final'!#REF!="Mayor"),CONCATENATE("R",'Mapa final'!#REF!),"")</f>
        <v>#REF!</v>
      </c>
      <c r="AC42" s="258"/>
      <c r="AD42" s="258" t="e">
        <f>IF(AND('Mapa final'!#REF!="Muy Baja",'Mapa final'!#REF!="Mayor"),CONCATENATE("R",'Mapa final'!#REF!),"")</f>
        <v>#REF!</v>
      </c>
      <c r="AE42" s="258"/>
      <c r="AF42" s="258" t="e">
        <f>IF(AND('Mapa final'!#REF!="Muy Baja",'Mapa final'!#REF!="Mayor"),CONCATENATE("R",'Mapa final'!#REF!),"")</f>
        <v>#REF!</v>
      </c>
      <c r="AG42" s="259"/>
      <c r="AH42" s="248" t="e">
        <f>IF(AND('Mapa final'!#REF!="Muy Baja",'Mapa final'!#REF!="Catastrófico"),CONCATENATE("R",'Mapa final'!#REF!),"")</f>
        <v>#REF!</v>
      </c>
      <c r="AI42" s="249"/>
      <c r="AJ42" s="249" t="e">
        <f>IF(AND('Mapa final'!#REF!="Muy Baja",'Mapa final'!#REF!="Catastrófico"),CONCATENATE("R",'Mapa final'!#REF!),"")</f>
        <v>#REF!</v>
      </c>
      <c r="AK42" s="249"/>
      <c r="AL42" s="249" t="e">
        <f>IF(AND('Mapa final'!#REF!="Muy Baja",'Mapa final'!#REF!="Catastrófico"),CONCATENATE("R",'Mapa final'!#REF!),"")</f>
        <v>#REF!</v>
      </c>
      <c r="AM42" s="250"/>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77"/>
      <c r="C43" s="277"/>
      <c r="D43" s="278"/>
      <c r="E43" s="270"/>
      <c r="F43" s="271"/>
      <c r="G43" s="271"/>
      <c r="H43" s="271"/>
      <c r="I43" s="272"/>
      <c r="J43" s="230"/>
      <c r="K43" s="231"/>
      <c r="L43" s="231"/>
      <c r="M43" s="231"/>
      <c r="N43" s="231"/>
      <c r="O43" s="232"/>
      <c r="P43" s="230"/>
      <c r="Q43" s="231"/>
      <c r="R43" s="231"/>
      <c r="S43" s="231"/>
      <c r="T43" s="231"/>
      <c r="U43" s="232"/>
      <c r="V43" s="239"/>
      <c r="W43" s="240"/>
      <c r="X43" s="240"/>
      <c r="Y43" s="240"/>
      <c r="Z43" s="240"/>
      <c r="AA43" s="241"/>
      <c r="AB43" s="257"/>
      <c r="AC43" s="258"/>
      <c r="AD43" s="258"/>
      <c r="AE43" s="258"/>
      <c r="AF43" s="258"/>
      <c r="AG43" s="259"/>
      <c r="AH43" s="248"/>
      <c r="AI43" s="249"/>
      <c r="AJ43" s="249"/>
      <c r="AK43" s="249"/>
      <c r="AL43" s="249"/>
      <c r="AM43" s="250"/>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77"/>
      <c r="C44" s="277"/>
      <c r="D44" s="278"/>
      <c r="E44" s="270"/>
      <c r="F44" s="271"/>
      <c r="G44" s="271"/>
      <c r="H44" s="271"/>
      <c r="I44" s="272"/>
      <c r="J44" s="230" t="e">
        <f>IF(AND('Mapa final'!#REF!="Muy Baja",'Mapa final'!#REF!="Leve"),CONCATENATE("R",'Mapa final'!#REF!),"")</f>
        <v>#REF!</v>
      </c>
      <c r="K44" s="231"/>
      <c r="L44" s="231" t="str">
        <f>IF(AND('Mapa final'!$L$14="Muy Baja",'Mapa final'!$P$14="Leve"),CONCATENATE("R",'Mapa final'!$A$14),"")</f>
        <v/>
      </c>
      <c r="M44" s="231"/>
      <c r="N44" s="231" t="str">
        <f>IF(AND('Mapa final'!$L$16="Muy Baja",'Mapa final'!$P$16="Leve"),CONCATENATE("R",'Mapa final'!$A$16),"")</f>
        <v/>
      </c>
      <c r="O44" s="232"/>
      <c r="P44" s="230" t="e">
        <f>IF(AND('Mapa final'!#REF!="Muy Baja",'Mapa final'!#REF!="Menor"),CONCATENATE("R",'Mapa final'!#REF!),"")</f>
        <v>#REF!</v>
      </c>
      <c r="Q44" s="231"/>
      <c r="R44" s="231" t="str">
        <f>IF(AND('Mapa final'!$L$14="Muy Baja",'Mapa final'!$P$14="Menor"),CONCATENATE("R",'Mapa final'!$A$14),"")</f>
        <v/>
      </c>
      <c r="S44" s="231"/>
      <c r="T44" s="231" t="str">
        <f>IF(AND('Mapa final'!$L$16="Muy Baja",'Mapa final'!$P$16="Menor"),CONCATENATE("R",'Mapa final'!$A$16),"")</f>
        <v/>
      </c>
      <c r="U44" s="232"/>
      <c r="V44" s="239" t="e">
        <f>IF(AND('Mapa final'!#REF!="Muy Baja",'Mapa final'!#REF!="Moderado"),CONCATENATE("R",'Mapa final'!#REF!),"")</f>
        <v>#REF!</v>
      </c>
      <c r="W44" s="240"/>
      <c r="X44" s="240" t="str">
        <f>IF(AND('Mapa final'!$L$14="Muy Baja",'Mapa final'!$P$14="Moderado"),CONCATENATE("R",'Mapa final'!$A$14),"")</f>
        <v/>
      </c>
      <c r="Y44" s="240"/>
      <c r="Z44" s="240" t="str">
        <f>IF(AND('Mapa final'!$L$16="Muy Baja",'Mapa final'!$P$16="Moderado"),CONCATENATE("R",'Mapa final'!$A$16),"")</f>
        <v/>
      </c>
      <c r="AA44" s="241"/>
      <c r="AB44" s="257" t="e">
        <f>IF(AND('Mapa final'!#REF!="Muy Baja",'Mapa final'!#REF!="Mayor"),CONCATENATE("R",'Mapa final'!#REF!),"")</f>
        <v>#REF!</v>
      </c>
      <c r="AC44" s="258"/>
      <c r="AD44" s="258" t="str">
        <f>IF(AND('Mapa final'!$L$14="Muy Baja",'Mapa final'!$P$14="Mayor"),CONCATENATE("R",'Mapa final'!$A$14),"")</f>
        <v/>
      </c>
      <c r="AE44" s="258"/>
      <c r="AF44" s="258" t="str">
        <f>IF(AND('Mapa final'!$L$16="Muy Baja",'Mapa final'!$P$16="Mayor"),CONCATENATE("R",'Mapa final'!$A$16),"")</f>
        <v/>
      </c>
      <c r="AG44" s="259"/>
      <c r="AH44" s="248" t="e">
        <f>IF(AND('Mapa final'!#REF!="Muy Baja",'Mapa final'!#REF!="Catastrófico"),CONCATENATE("R",'Mapa final'!#REF!),"")</f>
        <v>#REF!</v>
      </c>
      <c r="AI44" s="249"/>
      <c r="AJ44" s="249" t="str">
        <f>IF(AND('Mapa final'!$L$14="Muy Baja",'Mapa final'!$P$14="Catastrófico"),CONCATENATE("R",'Mapa final'!$A$14),"")</f>
        <v/>
      </c>
      <c r="AK44" s="249"/>
      <c r="AL44" s="249" t="str">
        <f>IF(AND('Mapa final'!$L$16="Muy Baja",'Mapa final'!$P$16="Catastrófico"),CONCATENATE("R",'Mapa final'!$A$16),"")</f>
        <v/>
      </c>
      <c r="AM44" s="250"/>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77"/>
      <c r="C45" s="277"/>
      <c r="D45" s="278"/>
      <c r="E45" s="273"/>
      <c r="F45" s="274"/>
      <c r="G45" s="274"/>
      <c r="H45" s="274"/>
      <c r="I45" s="275"/>
      <c r="J45" s="233"/>
      <c r="K45" s="234"/>
      <c r="L45" s="234"/>
      <c r="M45" s="234"/>
      <c r="N45" s="234"/>
      <c r="O45" s="235"/>
      <c r="P45" s="233"/>
      <c r="Q45" s="234"/>
      <c r="R45" s="234"/>
      <c r="S45" s="234"/>
      <c r="T45" s="234"/>
      <c r="U45" s="235"/>
      <c r="V45" s="242"/>
      <c r="W45" s="243"/>
      <c r="X45" s="243"/>
      <c r="Y45" s="243"/>
      <c r="Z45" s="243"/>
      <c r="AA45" s="244"/>
      <c r="AB45" s="260"/>
      <c r="AC45" s="261"/>
      <c r="AD45" s="261"/>
      <c r="AE45" s="261"/>
      <c r="AF45" s="261"/>
      <c r="AG45" s="262"/>
      <c r="AH45" s="251"/>
      <c r="AI45" s="252"/>
      <c r="AJ45" s="252"/>
      <c r="AK45" s="252"/>
      <c r="AL45" s="252"/>
      <c r="AM45" s="253"/>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67" t="s">
        <v>186</v>
      </c>
      <c r="K46" s="268"/>
      <c r="L46" s="268"/>
      <c r="M46" s="268"/>
      <c r="N46" s="268"/>
      <c r="O46" s="269"/>
      <c r="P46" s="267" t="s">
        <v>187</v>
      </c>
      <c r="Q46" s="268"/>
      <c r="R46" s="268"/>
      <c r="S46" s="268"/>
      <c r="T46" s="268"/>
      <c r="U46" s="269"/>
      <c r="V46" s="267" t="s">
        <v>188</v>
      </c>
      <c r="W46" s="268"/>
      <c r="X46" s="268"/>
      <c r="Y46" s="268"/>
      <c r="Z46" s="268"/>
      <c r="AA46" s="269"/>
      <c r="AB46" s="267" t="s">
        <v>189</v>
      </c>
      <c r="AC46" s="276"/>
      <c r="AD46" s="268"/>
      <c r="AE46" s="268"/>
      <c r="AF46" s="268"/>
      <c r="AG46" s="269"/>
      <c r="AH46" s="267" t="s">
        <v>190</v>
      </c>
      <c r="AI46" s="268"/>
      <c r="AJ46" s="268"/>
      <c r="AK46" s="268"/>
      <c r="AL46" s="268"/>
      <c r="AM46" s="269"/>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70"/>
      <c r="K47" s="271"/>
      <c r="L47" s="271"/>
      <c r="M47" s="271"/>
      <c r="N47" s="271"/>
      <c r="O47" s="272"/>
      <c r="P47" s="270"/>
      <c r="Q47" s="271"/>
      <c r="R47" s="271"/>
      <c r="S47" s="271"/>
      <c r="T47" s="271"/>
      <c r="U47" s="272"/>
      <c r="V47" s="270"/>
      <c r="W47" s="271"/>
      <c r="X47" s="271"/>
      <c r="Y47" s="271"/>
      <c r="Z47" s="271"/>
      <c r="AA47" s="272"/>
      <c r="AB47" s="270"/>
      <c r="AC47" s="271"/>
      <c r="AD47" s="271"/>
      <c r="AE47" s="271"/>
      <c r="AF47" s="271"/>
      <c r="AG47" s="272"/>
      <c r="AH47" s="270"/>
      <c r="AI47" s="271"/>
      <c r="AJ47" s="271"/>
      <c r="AK47" s="271"/>
      <c r="AL47" s="271"/>
      <c r="AM47" s="272"/>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70"/>
      <c r="K48" s="271"/>
      <c r="L48" s="271"/>
      <c r="M48" s="271"/>
      <c r="N48" s="271"/>
      <c r="O48" s="272"/>
      <c r="P48" s="270"/>
      <c r="Q48" s="271"/>
      <c r="R48" s="271"/>
      <c r="S48" s="271"/>
      <c r="T48" s="271"/>
      <c r="U48" s="272"/>
      <c r="V48" s="270"/>
      <c r="W48" s="271"/>
      <c r="X48" s="271"/>
      <c r="Y48" s="271"/>
      <c r="Z48" s="271"/>
      <c r="AA48" s="272"/>
      <c r="AB48" s="270"/>
      <c r="AC48" s="271"/>
      <c r="AD48" s="271"/>
      <c r="AE48" s="271"/>
      <c r="AF48" s="271"/>
      <c r="AG48" s="272"/>
      <c r="AH48" s="270"/>
      <c r="AI48" s="271"/>
      <c r="AJ48" s="271"/>
      <c r="AK48" s="271"/>
      <c r="AL48" s="271"/>
      <c r="AM48" s="272"/>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70"/>
      <c r="K49" s="271"/>
      <c r="L49" s="271"/>
      <c r="M49" s="271"/>
      <c r="N49" s="271"/>
      <c r="O49" s="272"/>
      <c r="P49" s="270"/>
      <c r="Q49" s="271"/>
      <c r="R49" s="271"/>
      <c r="S49" s="271"/>
      <c r="T49" s="271"/>
      <c r="U49" s="272"/>
      <c r="V49" s="270"/>
      <c r="W49" s="271"/>
      <c r="X49" s="271"/>
      <c r="Y49" s="271"/>
      <c r="Z49" s="271"/>
      <c r="AA49" s="272"/>
      <c r="AB49" s="270"/>
      <c r="AC49" s="271"/>
      <c r="AD49" s="271"/>
      <c r="AE49" s="271"/>
      <c r="AF49" s="271"/>
      <c r="AG49" s="272"/>
      <c r="AH49" s="270"/>
      <c r="AI49" s="271"/>
      <c r="AJ49" s="271"/>
      <c r="AK49" s="271"/>
      <c r="AL49" s="271"/>
      <c r="AM49" s="272"/>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70"/>
      <c r="K50" s="271"/>
      <c r="L50" s="271"/>
      <c r="M50" s="271"/>
      <c r="N50" s="271"/>
      <c r="O50" s="272"/>
      <c r="P50" s="270"/>
      <c r="Q50" s="271"/>
      <c r="R50" s="271"/>
      <c r="S50" s="271"/>
      <c r="T50" s="271"/>
      <c r="U50" s="272"/>
      <c r="V50" s="270"/>
      <c r="W50" s="271"/>
      <c r="X50" s="271"/>
      <c r="Y50" s="271"/>
      <c r="Z50" s="271"/>
      <c r="AA50" s="272"/>
      <c r="AB50" s="270"/>
      <c r="AC50" s="271"/>
      <c r="AD50" s="271"/>
      <c r="AE50" s="271"/>
      <c r="AF50" s="271"/>
      <c r="AG50" s="272"/>
      <c r="AH50" s="270"/>
      <c r="AI50" s="271"/>
      <c r="AJ50" s="271"/>
      <c r="AK50" s="271"/>
      <c r="AL50" s="271"/>
      <c r="AM50" s="272"/>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3"/>
      <c r="K51" s="274"/>
      <c r="L51" s="274"/>
      <c r="M51" s="274"/>
      <c r="N51" s="274"/>
      <c r="O51" s="275"/>
      <c r="P51" s="273"/>
      <c r="Q51" s="274"/>
      <c r="R51" s="274"/>
      <c r="S51" s="274"/>
      <c r="T51" s="274"/>
      <c r="U51" s="275"/>
      <c r="V51" s="273"/>
      <c r="W51" s="274"/>
      <c r="X51" s="274"/>
      <c r="Y51" s="274"/>
      <c r="Z51" s="274"/>
      <c r="AA51" s="275"/>
      <c r="AB51" s="273"/>
      <c r="AC51" s="274"/>
      <c r="AD51" s="274"/>
      <c r="AE51" s="274"/>
      <c r="AF51" s="274"/>
      <c r="AG51" s="275"/>
      <c r="AH51" s="273"/>
      <c r="AI51" s="274"/>
      <c r="AJ51" s="274"/>
      <c r="AK51" s="274"/>
      <c r="AL51" s="274"/>
      <c r="AM51" s="2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4" t="s">
        <v>191</v>
      </c>
      <c r="C2" s="345"/>
      <c r="D2" s="345"/>
      <c r="E2" s="345"/>
      <c r="F2" s="345"/>
      <c r="G2" s="345"/>
      <c r="H2" s="345"/>
      <c r="I2" s="345"/>
      <c r="J2" s="266" t="s">
        <v>15</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5"/>
      <c r="C3" s="345"/>
      <c r="D3" s="345"/>
      <c r="E3" s="345"/>
      <c r="F3" s="345"/>
      <c r="G3" s="345"/>
      <c r="H3" s="345"/>
      <c r="I3" s="345"/>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5"/>
      <c r="C4" s="345"/>
      <c r="D4" s="345"/>
      <c r="E4" s="345"/>
      <c r="F4" s="345"/>
      <c r="G4" s="345"/>
      <c r="H4" s="345"/>
      <c r="I4" s="345"/>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77" t="s">
        <v>176</v>
      </c>
      <c r="C6" s="277"/>
      <c r="D6" s="278"/>
      <c r="E6" s="315" t="s">
        <v>177</v>
      </c>
      <c r="F6" s="316"/>
      <c r="G6" s="316"/>
      <c r="H6" s="316"/>
      <c r="I6" s="317"/>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5" t="s">
        <v>178</v>
      </c>
      <c r="AP6" s="336"/>
      <c r="AQ6" s="336"/>
      <c r="AR6" s="336"/>
      <c r="AS6" s="336"/>
      <c r="AT6" s="337"/>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77"/>
      <c r="C7" s="277"/>
      <c r="D7" s="278"/>
      <c r="E7" s="318"/>
      <c r="F7" s="319"/>
      <c r="G7" s="319"/>
      <c r="H7" s="319"/>
      <c r="I7" s="320"/>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8"/>
      <c r="AP7" s="339"/>
      <c r="AQ7" s="339"/>
      <c r="AR7" s="339"/>
      <c r="AS7" s="339"/>
      <c r="AT7" s="340"/>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77"/>
      <c r="C8" s="277"/>
      <c r="D8" s="278"/>
      <c r="E8" s="318"/>
      <c r="F8" s="319"/>
      <c r="G8" s="319"/>
      <c r="H8" s="319"/>
      <c r="I8" s="320"/>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8"/>
      <c r="AP8" s="339"/>
      <c r="AQ8" s="339"/>
      <c r="AR8" s="339"/>
      <c r="AS8" s="339"/>
      <c r="AT8" s="340"/>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77"/>
      <c r="C9" s="277"/>
      <c r="D9" s="278"/>
      <c r="E9" s="318"/>
      <c r="F9" s="319"/>
      <c r="G9" s="319"/>
      <c r="H9" s="319"/>
      <c r="I9" s="320"/>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8"/>
      <c r="AP9" s="339"/>
      <c r="AQ9" s="339"/>
      <c r="AR9" s="339"/>
      <c r="AS9" s="339"/>
      <c r="AT9" s="340"/>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77"/>
      <c r="C10" s="277"/>
      <c r="D10" s="278"/>
      <c r="E10" s="318"/>
      <c r="F10" s="319"/>
      <c r="G10" s="319"/>
      <c r="H10" s="319"/>
      <c r="I10" s="320"/>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8"/>
      <c r="AP10" s="339"/>
      <c r="AQ10" s="339"/>
      <c r="AR10" s="339"/>
      <c r="AS10" s="339"/>
      <c r="AT10" s="340"/>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77"/>
      <c r="C11" s="277"/>
      <c r="D11" s="278"/>
      <c r="E11" s="318"/>
      <c r="F11" s="319"/>
      <c r="G11" s="319"/>
      <c r="H11" s="319"/>
      <c r="I11" s="320"/>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8"/>
      <c r="AP11" s="339"/>
      <c r="AQ11" s="339"/>
      <c r="AR11" s="339"/>
      <c r="AS11" s="339"/>
      <c r="AT11" s="340"/>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77"/>
      <c r="C12" s="277"/>
      <c r="D12" s="278"/>
      <c r="E12" s="318"/>
      <c r="F12" s="319"/>
      <c r="G12" s="319"/>
      <c r="H12" s="319"/>
      <c r="I12" s="320"/>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8"/>
      <c r="AP12" s="339"/>
      <c r="AQ12" s="339"/>
      <c r="AR12" s="339"/>
      <c r="AS12" s="339"/>
      <c r="AT12" s="340"/>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77"/>
      <c r="C13" s="277"/>
      <c r="D13" s="278"/>
      <c r="E13" s="318"/>
      <c r="F13" s="319"/>
      <c r="G13" s="319"/>
      <c r="H13" s="319"/>
      <c r="I13" s="320"/>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8"/>
      <c r="AP13" s="339"/>
      <c r="AQ13" s="339"/>
      <c r="AR13" s="339"/>
      <c r="AS13" s="339"/>
      <c r="AT13" s="34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77"/>
      <c r="C14" s="277"/>
      <c r="D14" s="278"/>
      <c r="E14" s="318"/>
      <c r="F14" s="319"/>
      <c r="G14" s="319"/>
      <c r="H14" s="319"/>
      <c r="I14" s="320"/>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8"/>
      <c r="AP14" s="339"/>
      <c r="AQ14" s="339"/>
      <c r="AR14" s="339"/>
      <c r="AS14" s="339"/>
      <c r="AT14" s="340"/>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77"/>
      <c r="C15" s="277"/>
      <c r="D15" s="278"/>
      <c r="E15" s="321"/>
      <c r="F15" s="322"/>
      <c r="G15" s="322"/>
      <c r="H15" s="322"/>
      <c r="I15" s="323"/>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1"/>
      <c r="AP15" s="342"/>
      <c r="AQ15" s="342"/>
      <c r="AR15" s="342"/>
      <c r="AS15" s="342"/>
      <c r="AT15" s="343"/>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77"/>
      <c r="C16" s="277"/>
      <c r="D16" s="278"/>
      <c r="E16" s="315" t="s">
        <v>179</v>
      </c>
      <c r="F16" s="316"/>
      <c r="G16" s="316"/>
      <c r="H16" s="316"/>
      <c r="I16" s="316"/>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5" t="s">
        <v>180</v>
      </c>
      <c r="AP16" s="326"/>
      <c r="AQ16" s="326"/>
      <c r="AR16" s="326"/>
      <c r="AS16" s="326"/>
      <c r="AT16" s="327"/>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77"/>
      <c r="C17" s="277"/>
      <c r="D17" s="278"/>
      <c r="E17" s="334"/>
      <c r="F17" s="319"/>
      <c r="G17" s="319"/>
      <c r="H17" s="319"/>
      <c r="I17" s="319"/>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8"/>
      <c r="AP17" s="329"/>
      <c r="AQ17" s="329"/>
      <c r="AR17" s="329"/>
      <c r="AS17" s="329"/>
      <c r="AT17" s="33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77"/>
      <c r="C18" s="277"/>
      <c r="D18" s="278"/>
      <c r="E18" s="318"/>
      <c r="F18" s="319"/>
      <c r="G18" s="319"/>
      <c r="H18" s="319"/>
      <c r="I18" s="319"/>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8"/>
      <c r="AP18" s="329"/>
      <c r="AQ18" s="329"/>
      <c r="AR18" s="329"/>
      <c r="AS18" s="329"/>
      <c r="AT18" s="33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77"/>
      <c r="C19" s="277"/>
      <c r="D19" s="278"/>
      <c r="E19" s="318"/>
      <c r="F19" s="319"/>
      <c r="G19" s="319"/>
      <c r="H19" s="319"/>
      <c r="I19" s="319"/>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8"/>
      <c r="AP19" s="329"/>
      <c r="AQ19" s="329"/>
      <c r="AR19" s="329"/>
      <c r="AS19" s="329"/>
      <c r="AT19" s="33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77"/>
      <c r="C20" s="277"/>
      <c r="D20" s="278"/>
      <c r="E20" s="318"/>
      <c r="F20" s="319"/>
      <c r="G20" s="319"/>
      <c r="H20" s="319"/>
      <c r="I20" s="319"/>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8"/>
      <c r="AP20" s="329"/>
      <c r="AQ20" s="329"/>
      <c r="AR20" s="329"/>
      <c r="AS20" s="329"/>
      <c r="AT20" s="33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77"/>
      <c r="C21" s="277"/>
      <c r="D21" s="278"/>
      <c r="E21" s="318"/>
      <c r="F21" s="319"/>
      <c r="G21" s="319"/>
      <c r="H21" s="319"/>
      <c r="I21" s="319"/>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8"/>
      <c r="AP21" s="329"/>
      <c r="AQ21" s="329"/>
      <c r="AR21" s="329"/>
      <c r="AS21" s="329"/>
      <c r="AT21" s="330"/>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77"/>
      <c r="C22" s="277"/>
      <c r="D22" s="278"/>
      <c r="E22" s="318"/>
      <c r="F22" s="319"/>
      <c r="G22" s="319"/>
      <c r="H22" s="319"/>
      <c r="I22" s="319"/>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8"/>
      <c r="AP22" s="329"/>
      <c r="AQ22" s="329"/>
      <c r="AR22" s="329"/>
      <c r="AS22" s="329"/>
      <c r="AT22" s="330"/>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77"/>
      <c r="C23" s="277"/>
      <c r="D23" s="278"/>
      <c r="E23" s="318"/>
      <c r="F23" s="319"/>
      <c r="G23" s="319"/>
      <c r="H23" s="319"/>
      <c r="I23" s="319"/>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8"/>
      <c r="AP23" s="329"/>
      <c r="AQ23" s="329"/>
      <c r="AR23" s="329"/>
      <c r="AS23" s="329"/>
      <c r="AT23" s="330"/>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77"/>
      <c r="C24" s="277"/>
      <c r="D24" s="278"/>
      <c r="E24" s="318"/>
      <c r="F24" s="319"/>
      <c r="G24" s="319"/>
      <c r="H24" s="319"/>
      <c r="I24" s="319"/>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8"/>
      <c r="AP24" s="329"/>
      <c r="AQ24" s="329"/>
      <c r="AR24" s="329"/>
      <c r="AS24" s="329"/>
      <c r="AT24" s="330"/>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77"/>
      <c r="C25" s="277"/>
      <c r="D25" s="278"/>
      <c r="E25" s="321"/>
      <c r="F25" s="322"/>
      <c r="G25" s="322"/>
      <c r="H25" s="322"/>
      <c r="I25" s="322"/>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31"/>
      <c r="AP25" s="332"/>
      <c r="AQ25" s="332"/>
      <c r="AR25" s="332"/>
      <c r="AS25" s="332"/>
      <c r="AT25" s="333"/>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77"/>
      <c r="C26" s="277"/>
      <c r="D26" s="278"/>
      <c r="E26" s="315" t="s">
        <v>181</v>
      </c>
      <c r="F26" s="316"/>
      <c r="G26" s="316"/>
      <c r="H26" s="316"/>
      <c r="I26" s="317"/>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5" t="s">
        <v>182</v>
      </c>
      <c r="AP26" s="356"/>
      <c r="AQ26" s="356"/>
      <c r="AR26" s="356"/>
      <c r="AS26" s="356"/>
      <c r="AT26" s="357"/>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77"/>
      <c r="C27" s="277"/>
      <c r="D27" s="278"/>
      <c r="E27" s="334"/>
      <c r="F27" s="319"/>
      <c r="G27" s="319"/>
      <c r="H27" s="319"/>
      <c r="I27" s="320"/>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58"/>
      <c r="AP27" s="359"/>
      <c r="AQ27" s="359"/>
      <c r="AR27" s="359"/>
      <c r="AS27" s="359"/>
      <c r="AT27" s="360"/>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77"/>
      <c r="C28" s="277"/>
      <c r="D28" s="278"/>
      <c r="E28" s="318"/>
      <c r="F28" s="319"/>
      <c r="G28" s="319"/>
      <c r="H28" s="319"/>
      <c r="I28" s="320"/>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58"/>
      <c r="AP28" s="359"/>
      <c r="AQ28" s="359"/>
      <c r="AR28" s="359"/>
      <c r="AS28" s="359"/>
      <c r="AT28" s="360"/>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77"/>
      <c r="C29" s="277"/>
      <c r="D29" s="278"/>
      <c r="E29" s="318"/>
      <c r="F29" s="319"/>
      <c r="G29" s="319"/>
      <c r="H29" s="319"/>
      <c r="I29" s="320"/>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58"/>
      <c r="AP29" s="359"/>
      <c r="AQ29" s="359"/>
      <c r="AR29" s="359"/>
      <c r="AS29" s="359"/>
      <c r="AT29" s="360"/>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77"/>
      <c r="C30" s="277"/>
      <c r="D30" s="278"/>
      <c r="E30" s="318"/>
      <c r="F30" s="319"/>
      <c r="G30" s="319"/>
      <c r="H30" s="319"/>
      <c r="I30" s="320"/>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58"/>
      <c r="AP30" s="359"/>
      <c r="AQ30" s="359"/>
      <c r="AR30" s="359"/>
      <c r="AS30" s="359"/>
      <c r="AT30" s="36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77"/>
      <c r="C31" s="277"/>
      <c r="D31" s="278"/>
      <c r="E31" s="318"/>
      <c r="F31" s="319"/>
      <c r="G31" s="319"/>
      <c r="H31" s="319"/>
      <c r="I31" s="320"/>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58"/>
      <c r="AP31" s="359"/>
      <c r="AQ31" s="359"/>
      <c r="AR31" s="359"/>
      <c r="AS31" s="359"/>
      <c r="AT31" s="36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77"/>
      <c r="C32" s="277"/>
      <c r="D32" s="278"/>
      <c r="E32" s="318"/>
      <c r="F32" s="319"/>
      <c r="G32" s="319"/>
      <c r="H32" s="319"/>
      <c r="I32" s="320"/>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58"/>
      <c r="AP32" s="359"/>
      <c r="AQ32" s="359"/>
      <c r="AR32" s="359"/>
      <c r="AS32" s="359"/>
      <c r="AT32" s="36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77"/>
      <c r="C33" s="277"/>
      <c r="D33" s="278"/>
      <c r="E33" s="318"/>
      <c r="F33" s="319"/>
      <c r="G33" s="319"/>
      <c r="H33" s="319"/>
      <c r="I33" s="320"/>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58"/>
      <c r="AP33" s="359"/>
      <c r="AQ33" s="359"/>
      <c r="AR33" s="359"/>
      <c r="AS33" s="359"/>
      <c r="AT33" s="36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77"/>
      <c r="C34" s="277"/>
      <c r="D34" s="278"/>
      <c r="E34" s="318"/>
      <c r="F34" s="319"/>
      <c r="G34" s="319"/>
      <c r="H34" s="319"/>
      <c r="I34" s="320"/>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58"/>
      <c r="AP34" s="359"/>
      <c r="AQ34" s="359"/>
      <c r="AR34" s="359"/>
      <c r="AS34" s="359"/>
      <c r="AT34" s="36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77"/>
      <c r="C35" s="277"/>
      <c r="D35" s="278"/>
      <c r="E35" s="321"/>
      <c r="F35" s="322"/>
      <c r="G35" s="322"/>
      <c r="H35" s="322"/>
      <c r="I35" s="323"/>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61"/>
      <c r="AP35" s="362"/>
      <c r="AQ35" s="362"/>
      <c r="AR35" s="362"/>
      <c r="AS35" s="362"/>
      <c r="AT35" s="36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77"/>
      <c r="C36" s="277"/>
      <c r="D36" s="278"/>
      <c r="E36" s="315" t="s">
        <v>183</v>
      </c>
      <c r="F36" s="316"/>
      <c r="G36" s="316"/>
      <c r="H36" s="316"/>
      <c r="I36" s="316"/>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6" t="s">
        <v>184</v>
      </c>
      <c r="AP36" s="347"/>
      <c r="AQ36" s="347"/>
      <c r="AR36" s="347"/>
      <c r="AS36" s="347"/>
      <c r="AT36" s="34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77"/>
      <c r="C37" s="277"/>
      <c r="D37" s="278"/>
      <c r="E37" s="334"/>
      <c r="F37" s="319"/>
      <c r="G37" s="319"/>
      <c r="H37" s="319"/>
      <c r="I37" s="319"/>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R2C1</v>
      </c>
      <c r="W37" s="60" t="str">
        <f>IF(AND('Mapa final'!$AD$12="Baja",'Mapa final'!$AF$12="Moderado"),CONCATENATE("R2C",'Mapa final'!$S$12),"")</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49"/>
      <c r="AP37" s="350"/>
      <c r="AQ37" s="350"/>
      <c r="AR37" s="350"/>
      <c r="AS37" s="350"/>
      <c r="AT37" s="35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77"/>
      <c r="C38" s="277"/>
      <c r="D38" s="278"/>
      <c r="E38" s="318"/>
      <c r="F38" s="319"/>
      <c r="G38" s="319"/>
      <c r="H38" s="319"/>
      <c r="I38" s="319"/>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49"/>
      <c r="AP38" s="350"/>
      <c r="AQ38" s="350"/>
      <c r="AR38" s="350"/>
      <c r="AS38" s="350"/>
      <c r="AT38" s="351"/>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77"/>
      <c r="C39" s="277"/>
      <c r="D39" s="278"/>
      <c r="E39" s="318"/>
      <c r="F39" s="319"/>
      <c r="G39" s="319"/>
      <c r="H39" s="319"/>
      <c r="I39" s="319"/>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49"/>
      <c r="AP39" s="350"/>
      <c r="AQ39" s="350"/>
      <c r="AR39" s="350"/>
      <c r="AS39" s="350"/>
      <c r="AT39" s="351"/>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77"/>
      <c r="C40" s="277"/>
      <c r="D40" s="278"/>
      <c r="E40" s="318"/>
      <c r="F40" s="319"/>
      <c r="G40" s="319"/>
      <c r="H40" s="319"/>
      <c r="I40" s="319"/>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49"/>
      <c r="AP40" s="350"/>
      <c r="AQ40" s="350"/>
      <c r="AR40" s="350"/>
      <c r="AS40" s="350"/>
      <c r="AT40" s="351"/>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77"/>
      <c r="C41" s="277"/>
      <c r="D41" s="278"/>
      <c r="E41" s="318"/>
      <c r="F41" s="319"/>
      <c r="G41" s="319"/>
      <c r="H41" s="319"/>
      <c r="I41" s="319"/>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49"/>
      <c r="AP41" s="350"/>
      <c r="AQ41" s="350"/>
      <c r="AR41" s="350"/>
      <c r="AS41" s="350"/>
      <c r="AT41" s="351"/>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77"/>
      <c r="C42" s="277"/>
      <c r="D42" s="278"/>
      <c r="E42" s="318"/>
      <c r="F42" s="319"/>
      <c r="G42" s="319"/>
      <c r="H42" s="319"/>
      <c r="I42" s="319"/>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49"/>
      <c r="AP42" s="350"/>
      <c r="AQ42" s="350"/>
      <c r="AR42" s="350"/>
      <c r="AS42" s="350"/>
      <c r="AT42" s="351"/>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77"/>
      <c r="C43" s="277"/>
      <c r="D43" s="278"/>
      <c r="E43" s="318"/>
      <c r="F43" s="319"/>
      <c r="G43" s="319"/>
      <c r="H43" s="319"/>
      <c r="I43" s="319"/>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49"/>
      <c r="AP43" s="350"/>
      <c r="AQ43" s="350"/>
      <c r="AR43" s="350"/>
      <c r="AS43" s="350"/>
      <c r="AT43" s="351"/>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77"/>
      <c r="C44" s="277"/>
      <c r="D44" s="278"/>
      <c r="E44" s="318"/>
      <c r="F44" s="319"/>
      <c r="G44" s="319"/>
      <c r="H44" s="319"/>
      <c r="I44" s="319"/>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49"/>
      <c r="AP44" s="350"/>
      <c r="AQ44" s="350"/>
      <c r="AR44" s="350"/>
      <c r="AS44" s="350"/>
      <c r="AT44" s="351"/>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77"/>
      <c r="C45" s="277"/>
      <c r="D45" s="278"/>
      <c r="E45" s="321"/>
      <c r="F45" s="322"/>
      <c r="G45" s="322"/>
      <c r="H45" s="322"/>
      <c r="I45" s="322"/>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52"/>
      <c r="AP45" s="353"/>
      <c r="AQ45" s="353"/>
      <c r="AR45" s="353"/>
      <c r="AS45" s="353"/>
      <c r="AT45" s="354"/>
    </row>
    <row r="46" spans="1:80" ht="46.5" customHeight="1" x14ac:dyDescent="0.35">
      <c r="A46" s="75"/>
      <c r="B46" s="277"/>
      <c r="C46" s="277"/>
      <c r="D46" s="278"/>
      <c r="E46" s="315" t="s">
        <v>185</v>
      </c>
      <c r="F46" s="316"/>
      <c r="G46" s="316"/>
      <c r="H46" s="316"/>
      <c r="I46" s="317"/>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77"/>
      <c r="C47" s="277"/>
      <c r="D47" s="278"/>
      <c r="E47" s="334"/>
      <c r="F47" s="319"/>
      <c r="G47" s="319"/>
      <c r="H47" s="319"/>
      <c r="I47" s="320"/>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77"/>
      <c r="C48" s="277"/>
      <c r="D48" s="278"/>
      <c r="E48" s="334"/>
      <c r="F48" s="319"/>
      <c r="G48" s="319"/>
      <c r="H48" s="319"/>
      <c r="I48" s="320"/>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77"/>
      <c r="C49" s="277"/>
      <c r="D49" s="278"/>
      <c r="E49" s="318"/>
      <c r="F49" s="319"/>
      <c r="G49" s="319"/>
      <c r="H49" s="319"/>
      <c r="I49" s="320"/>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77"/>
      <c r="C50" s="277"/>
      <c r="D50" s="278"/>
      <c r="E50" s="318"/>
      <c r="F50" s="319"/>
      <c r="G50" s="319"/>
      <c r="H50" s="319"/>
      <c r="I50" s="320"/>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77"/>
      <c r="C51" s="277"/>
      <c r="D51" s="278"/>
      <c r="E51" s="318"/>
      <c r="F51" s="319"/>
      <c r="G51" s="319"/>
      <c r="H51" s="319"/>
      <c r="I51" s="320"/>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77"/>
      <c r="C52" s="277"/>
      <c r="D52" s="278"/>
      <c r="E52" s="318"/>
      <c r="F52" s="319"/>
      <c r="G52" s="319"/>
      <c r="H52" s="319"/>
      <c r="I52" s="320"/>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77"/>
      <c r="C53" s="277"/>
      <c r="D53" s="278"/>
      <c r="E53" s="318"/>
      <c r="F53" s="319"/>
      <c r="G53" s="319"/>
      <c r="H53" s="319"/>
      <c r="I53" s="320"/>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77"/>
      <c r="C54" s="277"/>
      <c r="D54" s="278"/>
      <c r="E54" s="318"/>
      <c r="F54" s="319"/>
      <c r="G54" s="319"/>
      <c r="H54" s="319"/>
      <c r="I54" s="320"/>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77"/>
      <c r="C55" s="277"/>
      <c r="D55" s="278"/>
      <c r="E55" s="321"/>
      <c r="F55" s="322"/>
      <c r="G55" s="322"/>
      <c r="H55" s="322"/>
      <c r="I55" s="323"/>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15" t="s">
        <v>186</v>
      </c>
      <c r="K56" s="316"/>
      <c r="L56" s="316"/>
      <c r="M56" s="316"/>
      <c r="N56" s="316"/>
      <c r="O56" s="317"/>
      <c r="P56" s="315" t="s">
        <v>187</v>
      </c>
      <c r="Q56" s="316"/>
      <c r="R56" s="316"/>
      <c r="S56" s="316"/>
      <c r="T56" s="316"/>
      <c r="U56" s="317"/>
      <c r="V56" s="315" t="s">
        <v>188</v>
      </c>
      <c r="W56" s="316"/>
      <c r="X56" s="316"/>
      <c r="Y56" s="316"/>
      <c r="Z56" s="316"/>
      <c r="AA56" s="317"/>
      <c r="AB56" s="315" t="s">
        <v>189</v>
      </c>
      <c r="AC56" s="324"/>
      <c r="AD56" s="316"/>
      <c r="AE56" s="316"/>
      <c r="AF56" s="316"/>
      <c r="AG56" s="317"/>
      <c r="AH56" s="315" t="s">
        <v>190</v>
      </c>
      <c r="AI56" s="316"/>
      <c r="AJ56" s="316"/>
      <c r="AK56" s="316"/>
      <c r="AL56" s="316"/>
      <c r="AM56" s="317"/>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18"/>
      <c r="K57" s="319"/>
      <c r="L57" s="319"/>
      <c r="M57" s="319"/>
      <c r="N57" s="319"/>
      <c r="O57" s="320"/>
      <c r="P57" s="318"/>
      <c r="Q57" s="319"/>
      <c r="R57" s="319"/>
      <c r="S57" s="319"/>
      <c r="T57" s="319"/>
      <c r="U57" s="320"/>
      <c r="V57" s="318"/>
      <c r="W57" s="319"/>
      <c r="X57" s="319"/>
      <c r="Y57" s="319"/>
      <c r="Z57" s="319"/>
      <c r="AA57" s="320"/>
      <c r="AB57" s="318"/>
      <c r="AC57" s="319"/>
      <c r="AD57" s="319"/>
      <c r="AE57" s="319"/>
      <c r="AF57" s="319"/>
      <c r="AG57" s="320"/>
      <c r="AH57" s="318"/>
      <c r="AI57" s="319"/>
      <c r="AJ57" s="319"/>
      <c r="AK57" s="319"/>
      <c r="AL57" s="319"/>
      <c r="AM57" s="320"/>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18"/>
      <c r="K58" s="319"/>
      <c r="L58" s="319"/>
      <c r="M58" s="319"/>
      <c r="N58" s="319"/>
      <c r="O58" s="320"/>
      <c r="P58" s="318"/>
      <c r="Q58" s="319"/>
      <c r="R58" s="319"/>
      <c r="S58" s="319"/>
      <c r="T58" s="319"/>
      <c r="U58" s="320"/>
      <c r="V58" s="318"/>
      <c r="W58" s="319"/>
      <c r="X58" s="319"/>
      <c r="Y58" s="319"/>
      <c r="Z58" s="319"/>
      <c r="AA58" s="320"/>
      <c r="AB58" s="318"/>
      <c r="AC58" s="319"/>
      <c r="AD58" s="319"/>
      <c r="AE58" s="319"/>
      <c r="AF58" s="319"/>
      <c r="AG58" s="320"/>
      <c r="AH58" s="318"/>
      <c r="AI58" s="319"/>
      <c r="AJ58" s="319"/>
      <c r="AK58" s="319"/>
      <c r="AL58" s="319"/>
      <c r="AM58" s="320"/>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18"/>
      <c r="K59" s="319"/>
      <c r="L59" s="319"/>
      <c r="M59" s="319"/>
      <c r="N59" s="319"/>
      <c r="O59" s="320"/>
      <c r="P59" s="318"/>
      <c r="Q59" s="319"/>
      <c r="R59" s="319"/>
      <c r="S59" s="319"/>
      <c r="T59" s="319"/>
      <c r="U59" s="320"/>
      <c r="V59" s="318"/>
      <c r="W59" s="319"/>
      <c r="X59" s="319"/>
      <c r="Y59" s="319"/>
      <c r="Z59" s="319"/>
      <c r="AA59" s="320"/>
      <c r="AB59" s="318"/>
      <c r="AC59" s="319"/>
      <c r="AD59" s="319"/>
      <c r="AE59" s="319"/>
      <c r="AF59" s="319"/>
      <c r="AG59" s="320"/>
      <c r="AH59" s="318"/>
      <c r="AI59" s="319"/>
      <c r="AJ59" s="319"/>
      <c r="AK59" s="319"/>
      <c r="AL59" s="319"/>
      <c r="AM59" s="320"/>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18"/>
      <c r="K60" s="319"/>
      <c r="L60" s="319"/>
      <c r="M60" s="319"/>
      <c r="N60" s="319"/>
      <c r="O60" s="320"/>
      <c r="P60" s="318"/>
      <c r="Q60" s="319"/>
      <c r="R60" s="319"/>
      <c r="S60" s="319"/>
      <c r="T60" s="319"/>
      <c r="U60" s="320"/>
      <c r="V60" s="318"/>
      <c r="W60" s="319"/>
      <c r="X60" s="319"/>
      <c r="Y60" s="319"/>
      <c r="Z60" s="319"/>
      <c r="AA60" s="320"/>
      <c r="AB60" s="318"/>
      <c r="AC60" s="319"/>
      <c r="AD60" s="319"/>
      <c r="AE60" s="319"/>
      <c r="AF60" s="319"/>
      <c r="AG60" s="320"/>
      <c r="AH60" s="318"/>
      <c r="AI60" s="319"/>
      <c r="AJ60" s="319"/>
      <c r="AK60" s="319"/>
      <c r="AL60" s="319"/>
      <c r="AM60" s="320"/>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21"/>
      <c r="K61" s="322"/>
      <c r="L61" s="322"/>
      <c r="M61" s="322"/>
      <c r="N61" s="322"/>
      <c r="O61" s="323"/>
      <c r="P61" s="321"/>
      <c r="Q61" s="322"/>
      <c r="R61" s="322"/>
      <c r="S61" s="322"/>
      <c r="T61" s="322"/>
      <c r="U61" s="323"/>
      <c r="V61" s="321"/>
      <c r="W61" s="322"/>
      <c r="X61" s="322"/>
      <c r="Y61" s="322"/>
      <c r="Z61" s="322"/>
      <c r="AA61" s="323"/>
      <c r="AB61" s="321"/>
      <c r="AC61" s="322"/>
      <c r="AD61" s="322"/>
      <c r="AE61" s="322"/>
      <c r="AF61" s="322"/>
      <c r="AG61" s="323"/>
      <c r="AH61" s="321"/>
      <c r="AI61" s="322"/>
      <c r="AJ61" s="322"/>
      <c r="AK61" s="322"/>
      <c r="AL61" s="322"/>
      <c r="AM61" s="323"/>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4" t="s">
        <v>192</v>
      </c>
      <c r="C1" s="365"/>
      <c r="D1" s="365"/>
      <c r="E1" s="365"/>
      <c r="F1" s="366"/>
    </row>
    <row r="2" spans="2:6" ht="16.5" thickBot="1" x14ac:dyDescent="0.3">
      <c r="B2" s="81"/>
      <c r="C2" s="81"/>
      <c r="D2" s="81"/>
      <c r="E2" s="81"/>
      <c r="F2" s="81"/>
    </row>
    <row r="3" spans="2:6" ht="16.5" thickBot="1" x14ac:dyDescent="0.25">
      <c r="B3" s="368" t="s">
        <v>193</v>
      </c>
      <c r="C3" s="369"/>
      <c r="D3" s="369"/>
      <c r="E3" s="93" t="s">
        <v>194</v>
      </c>
      <c r="F3" s="94" t="s">
        <v>195</v>
      </c>
    </row>
    <row r="4" spans="2:6" ht="31.5" x14ac:dyDescent="0.2">
      <c r="B4" s="370" t="s">
        <v>196</v>
      </c>
      <c r="C4" s="372" t="s">
        <v>78</v>
      </c>
      <c r="D4" s="82" t="s">
        <v>118</v>
      </c>
      <c r="E4" s="83" t="s">
        <v>197</v>
      </c>
      <c r="F4" s="84">
        <v>0.25</v>
      </c>
    </row>
    <row r="5" spans="2:6" ht="47.25" x14ac:dyDescent="0.2">
      <c r="B5" s="371"/>
      <c r="C5" s="373"/>
      <c r="D5" s="85" t="s">
        <v>198</v>
      </c>
      <c r="E5" s="86" t="s">
        <v>199</v>
      </c>
      <c r="F5" s="87">
        <v>0.15</v>
      </c>
    </row>
    <row r="6" spans="2:6" ht="47.25" x14ac:dyDescent="0.2">
      <c r="B6" s="371"/>
      <c r="C6" s="373"/>
      <c r="D6" s="85" t="s">
        <v>200</v>
      </c>
      <c r="E6" s="86" t="s">
        <v>201</v>
      </c>
      <c r="F6" s="87">
        <v>0.1</v>
      </c>
    </row>
    <row r="7" spans="2:6" ht="63" x14ac:dyDescent="0.2">
      <c r="B7" s="371"/>
      <c r="C7" s="373" t="s">
        <v>101</v>
      </c>
      <c r="D7" s="85" t="s">
        <v>202</v>
      </c>
      <c r="E7" s="86" t="s">
        <v>203</v>
      </c>
      <c r="F7" s="87">
        <v>0.25</v>
      </c>
    </row>
    <row r="8" spans="2:6" ht="31.5" x14ac:dyDescent="0.2">
      <c r="B8" s="371"/>
      <c r="C8" s="373"/>
      <c r="D8" s="85" t="s">
        <v>119</v>
      </c>
      <c r="E8" s="86" t="s">
        <v>204</v>
      </c>
      <c r="F8" s="87">
        <v>0.15</v>
      </c>
    </row>
    <row r="9" spans="2:6" ht="47.25" x14ac:dyDescent="0.2">
      <c r="B9" s="371" t="s">
        <v>205</v>
      </c>
      <c r="C9" s="373" t="s">
        <v>103</v>
      </c>
      <c r="D9" s="85" t="s">
        <v>120</v>
      </c>
      <c r="E9" s="86" t="s">
        <v>206</v>
      </c>
      <c r="F9" s="88" t="s">
        <v>207</v>
      </c>
    </row>
    <row r="10" spans="2:6" ht="63" x14ac:dyDescent="0.2">
      <c r="B10" s="371"/>
      <c r="C10" s="373"/>
      <c r="D10" s="85" t="s">
        <v>208</v>
      </c>
      <c r="E10" s="86" t="s">
        <v>209</v>
      </c>
      <c r="F10" s="88" t="s">
        <v>207</v>
      </c>
    </row>
    <row r="11" spans="2:6" ht="47.25" x14ac:dyDescent="0.2">
      <c r="B11" s="371"/>
      <c r="C11" s="373" t="s">
        <v>104</v>
      </c>
      <c r="D11" s="85" t="s">
        <v>121</v>
      </c>
      <c r="E11" s="86" t="s">
        <v>210</v>
      </c>
      <c r="F11" s="88" t="s">
        <v>207</v>
      </c>
    </row>
    <row r="12" spans="2:6" ht="47.25" x14ac:dyDescent="0.2">
      <c r="B12" s="371"/>
      <c r="C12" s="373"/>
      <c r="D12" s="85" t="s">
        <v>211</v>
      </c>
      <c r="E12" s="86" t="s">
        <v>212</v>
      </c>
      <c r="F12" s="88" t="s">
        <v>207</v>
      </c>
    </row>
    <row r="13" spans="2:6" ht="31.5" x14ac:dyDescent="0.2">
      <c r="B13" s="371"/>
      <c r="C13" s="373" t="s">
        <v>105</v>
      </c>
      <c r="D13" s="85" t="s">
        <v>122</v>
      </c>
      <c r="E13" s="86" t="s">
        <v>213</v>
      </c>
      <c r="F13" s="88" t="s">
        <v>207</v>
      </c>
    </row>
    <row r="14" spans="2:6" ht="32.25" thickBot="1" x14ac:dyDescent="0.25">
      <c r="B14" s="374"/>
      <c r="C14" s="375"/>
      <c r="D14" s="89" t="s">
        <v>214</v>
      </c>
      <c r="E14" s="90" t="s">
        <v>215</v>
      </c>
      <c r="F14" s="91" t="s">
        <v>207</v>
      </c>
    </row>
    <row r="15" spans="2:6" ht="49.5" customHeight="1" x14ac:dyDescent="0.2">
      <c r="B15" s="367" t="s">
        <v>216</v>
      </c>
      <c r="C15" s="367"/>
      <c r="D15" s="367"/>
      <c r="E15" s="367"/>
      <c r="F15" s="367"/>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376" t="s">
        <v>217</v>
      </c>
      <c r="C1" s="376"/>
      <c r="D1" s="376"/>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218</v>
      </c>
      <c r="D3" s="9" t="s">
        <v>176</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219</v>
      </c>
      <c r="C4" s="11" t="s">
        <v>220</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221</v>
      </c>
      <c r="C5" s="14" t="s">
        <v>222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223</v>
      </c>
      <c r="C6" s="14" t="s">
        <v>224</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225</v>
      </c>
      <c r="C7" s="14" t="s">
        <v>226</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227</v>
      </c>
      <c r="C8" s="14" t="s">
        <v>228</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77" t="s">
        <v>229</v>
      </c>
      <c r="C1" s="377"/>
      <c r="D1" s="377"/>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230</v>
      </c>
      <c r="D3" s="28" t="s">
        <v>231</v>
      </c>
      <c r="E3" s="75"/>
      <c r="F3" s="75"/>
      <c r="G3" s="75"/>
      <c r="H3" s="75"/>
      <c r="I3" s="75"/>
      <c r="J3" s="75"/>
      <c r="K3" s="75"/>
      <c r="L3" s="75"/>
      <c r="M3" s="75"/>
      <c r="N3" s="75"/>
      <c r="O3" s="75"/>
      <c r="P3" s="75"/>
      <c r="Q3" s="75"/>
      <c r="R3" s="75"/>
      <c r="S3" s="75"/>
      <c r="T3" s="75"/>
      <c r="U3" s="75"/>
    </row>
    <row r="4" spans="1:21" ht="33.75" x14ac:dyDescent="0.25">
      <c r="A4" s="95" t="s">
        <v>232</v>
      </c>
      <c r="B4" s="31" t="s">
        <v>233</v>
      </c>
      <c r="C4" s="36" t="s">
        <v>234</v>
      </c>
      <c r="D4" s="29" t="s">
        <v>235</v>
      </c>
      <c r="E4" s="75"/>
      <c r="F4" s="75"/>
      <c r="G4" s="75"/>
      <c r="H4" s="75"/>
      <c r="I4" s="75"/>
      <c r="J4" s="75"/>
      <c r="K4" s="75"/>
      <c r="L4" s="75"/>
      <c r="M4" s="75"/>
      <c r="N4" s="75"/>
      <c r="O4" s="75"/>
      <c r="P4" s="75"/>
      <c r="Q4" s="75"/>
      <c r="R4" s="75"/>
      <c r="S4" s="75"/>
      <c r="T4" s="75"/>
      <c r="U4" s="75"/>
    </row>
    <row r="5" spans="1:21" ht="67.5" x14ac:dyDescent="0.25">
      <c r="A5" s="95" t="s">
        <v>236</v>
      </c>
      <c r="B5" s="32" t="s">
        <v>237</v>
      </c>
      <c r="C5" s="37" t="s">
        <v>238</v>
      </c>
      <c r="D5" s="30" t="s">
        <v>239</v>
      </c>
      <c r="E5" s="75"/>
      <c r="F5" s="75"/>
      <c r="G5" s="75"/>
      <c r="H5" s="75"/>
      <c r="I5" s="75"/>
      <c r="J5" s="75"/>
      <c r="K5" s="75"/>
      <c r="L5" s="75"/>
      <c r="M5" s="75"/>
      <c r="N5" s="75"/>
      <c r="O5" s="75"/>
      <c r="P5" s="75"/>
      <c r="Q5" s="75"/>
      <c r="R5" s="75"/>
      <c r="S5" s="75"/>
      <c r="T5" s="75"/>
      <c r="U5" s="75"/>
    </row>
    <row r="6" spans="1:21" ht="67.5" x14ac:dyDescent="0.25">
      <c r="A6" s="95" t="s">
        <v>182</v>
      </c>
      <c r="B6" s="33" t="s">
        <v>240</v>
      </c>
      <c r="C6" s="37" t="s">
        <v>241</v>
      </c>
      <c r="D6" s="30" t="s">
        <v>242</v>
      </c>
      <c r="E6" s="75"/>
      <c r="F6" s="75"/>
      <c r="G6" s="75"/>
      <c r="H6" s="75"/>
      <c r="I6" s="75"/>
      <c r="J6" s="75"/>
      <c r="K6" s="75"/>
      <c r="L6" s="75"/>
      <c r="M6" s="75"/>
      <c r="N6" s="75"/>
      <c r="O6" s="75"/>
      <c r="P6" s="75"/>
      <c r="Q6" s="75"/>
      <c r="R6" s="75"/>
      <c r="S6" s="75"/>
      <c r="T6" s="75"/>
      <c r="U6" s="75"/>
    </row>
    <row r="7" spans="1:21" ht="101.25" x14ac:dyDescent="0.25">
      <c r="A7" s="95" t="s">
        <v>243</v>
      </c>
      <c r="B7" s="34" t="s">
        <v>244</v>
      </c>
      <c r="C7" s="37" t="s">
        <v>245</v>
      </c>
      <c r="D7" s="30" t="s">
        <v>246</v>
      </c>
      <c r="E7" s="75"/>
      <c r="F7" s="75"/>
      <c r="G7" s="75"/>
      <c r="H7" s="75"/>
      <c r="I7" s="75"/>
      <c r="J7" s="75"/>
      <c r="K7" s="75"/>
      <c r="L7" s="75"/>
      <c r="M7" s="75"/>
      <c r="N7" s="75"/>
      <c r="O7" s="75"/>
      <c r="P7" s="75"/>
      <c r="Q7" s="75"/>
      <c r="R7" s="75"/>
      <c r="S7" s="75"/>
      <c r="T7" s="75"/>
      <c r="U7" s="75"/>
    </row>
    <row r="8" spans="1:21" ht="67.5" x14ac:dyDescent="0.25">
      <c r="A8" s="95" t="s">
        <v>247</v>
      </c>
      <c r="B8" s="35" t="s">
        <v>248</v>
      </c>
      <c r="C8" s="37" t="s">
        <v>249</v>
      </c>
      <c r="D8" s="30" t="s">
        <v>250</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251</v>
      </c>
      <c r="C11" s="95" t="s">
        <v>252</v>
      </c>
      <c r="D11" s="95" t="s">
        <v>253</v>
      </c>
      <c r="E11" s="75"/>
      <c r="F11" s="75"/>
      <c r="G11" s="75"/>
      <c r="H11" s="75"/>
      <c r="I11" s="75"/>
      <c r="J11" s="75"/>
      <c r="K11" s="75"/>
      <c r="L11" s="75"/>
      <c r="M11" s="75"/>
      <c r="N11" s="75"/>
      <c r="O11" s="75"/>
      <c r="P11" s="75"/>
      <c r="Q11" s="75"/>
      <c r="R11" s="75"/>
      <c r="S11" s="75"/>
      <c r="T11" s="75"/>
      <c r="U11" s="75"/>
    </row>
    <row r="12" spans="1:21" x14ac:dyDescent="0.25">
      <c r="A12" s="95"/>
      <c r="B12" s="95" t="s">
        <v>254</v>
      </c>
      <c r="C12" s="95" t="s">
        <v>255</v>
      </c>
      <c r="D12" s="95" t="s">
        <v>256</v>
      </c>
      <c r="E12" s="75"/>
      <c r="F12" s="75"/>
      <c r="G12" s="75"/>
      <c r="H12" s="75"/>
      <c r="I12" s="75"/>
      <c r="J12" s="75"/>
      <c r="K12" s="75"/>
      <c r="L12" s="75"/>
      <c r="M12" s="75"/>
      <c r="N12" s="75"/>
      <c r="O12" s="75"/>
      <c r="P12" s="75"/>
      <c r="Q12" s="75"/>
      <c r="R12" s="75"/>
      <c r="S12" s="75"/>
      <c r="T12" s="75"/>
      <c r="U12" s="75"/>
    </row>
    <row r="13" spans="1:21" x14ac:dyDescent="0.25">
      <c r="A13" s="95"/>
      <c r="B13" s="95"/>
      <c r="C13" s="95" t="s">
        <v>257</v>
      </c>
      <c r="D13" s="95" t="s">
        <v>115</v>
      </c>
      <c r="E13" s="75"/>
      <c r="F13" s="75"/>
      <c r="G13" s="75"/>
      <c r="H13" s="75"/>
      <c r="I13" s="75"/>
      <c r="J13" s="75"/>
      <c r="K13" s="75"/>
      <c r="L13" s="75"/>
      <c r="M13" s="75"/>
      <c r="N13" s="75"/>
      <c r="O13" s="75"/>
      <c r="P13" s="75"/>
      <c r="Q13" s="75"/>
      <c r="R13" s="75"/>
      <c r="S13" s="75"/>
      <c r="T13" s="75"/>
      <c r="U13" s="75"/>
    </row>
    <row r="14" spans="1:21" x14ac:dyDescent="0.25">
      <c r="A14" s="95"/>
      <c r="B14" s="95"/>
      <c r="C14" s="95" t="s">
        <v>258</v>
      </c>
      <c r="D14" s="95" t="s">
        <v>259</v>
      </c>
      <c r="E14" s="75"/>
      <c r="F14" s="75"/>
      <c r="G14" s="75"/>
      <c r="H14" s="75"/>
      <c r="I14" s="75"/>
      <c r="J14" s="75"/>
      <c r="K14" s="75"/>
      <c r="L14" s="75"/>
      <c r="M14" s="75"/>
      <c r="N14" s="75"/>
      <c r="O14" s="75"/>
      <c r="P14" s="75"/>
      <c r="Q14" s="75"/>
      <c r="R14" s="75"/>
      <c r="S14" s="75"/>
      <c r="T14" s="75"/>
      <c r="U14" s="75"/>
    </row>
    <row r="15" spans="1:21" x14ac:dyDescent="0.25">
      <c r="A15" s="95"/>
      <c r="B15" s="95"/>
      <c r="C15" s="95" t="s">
        <v>260</v>
      </c>
      <c r="D15" s="95" t="s">
        <v>261</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262</v>
      </c>
      <c r="C209" s="22" t="s">
        <v>263</v>
      </c>
      <c r="D209" s="25" t="s">
        <v>262</v>
      </c>
      <c r="E209" s="25" t="s">
        <v>263</v>
      </c>
    </row>
    <row r="210" spans="1:8" ht="21" x14ac:dyDescent="0.35">
      <c r="A210" s="75"/>
      <c r="B210" s="23" t="s">
        <v>264</v>
      </c>
      <c r="C210" s="23" t="s">
        <v>265</v>
      </c>
      <c r="D210" t="s">
        <v>264</v>
      </c>
      <c r="F210" t="str">
        <f>IF(NOT(ISBLANK(D210)),D210,IF(NOT(ISBLANK(E210)),"     "&amp;E210,FALSE))</f>
        <v>Afectación Económica o presupuestal</v>
      </c>
      <c r="G210" t="s">
        <v>264</v>
      </c>
      <c r="H210" t="str">
        <f>IF(NOT(ISERROR(MATCH(G210,_xlfn.ANCHORARRAY(B221),0))),F223&amp;"Por favor no seleccionar los criterios de impacto",G210)</f>
        <v>❌Por favor no seleccionar los criterios de impacto</v>
      </c>
    </row>
    <row r="211" spans="1:8" ht="21" x14ac:dyDescent="0.35">
      <c r="A211" s="75"/>
      <c r="B211" s="23" t="s">
        <v>264</v>
      </c>
      <c r="C211" s="23" t="s">
        <v>238</v>
      </c>
      <c r="E211" t="s">
        <v>265</v>
      </c>
      <c r="F211" t="str">
        <f t="shared" ref="F211:F221" si="0">IF(NOT(ISBLANK(D211)),D211,IF(NOT(ISBLANK(E211)),"     "&amp;E211,FALSE))</f>
        <v xml:space="preserve">     Afectación menor a 10 SMLMV .</v>
      </c>
    </row>
    <row r="212" spans="1:8" ht="21" x14ac:dyDescent="0.35">
      <c r="A212" s="75"/>
      <c r="B212" s="23" t="s">
        <v>264</v>
      </c>
      <c r="C212" s="23" t="s">
        <v>241</v>
      </c>
      <c r="E212" t="s">
        <v>238</v>
      </c>
      <c r="F212" t="str">
        <f t="shared" si="0"/>
        <v xml:space="preserve">     Entre 10 y 50 SMLMV </v>
      </c>
    </row>
    <row r="213" spans="1:8" ht="21" x14ac:dyDescent="0.35">
      <c r="A213" s="75"/>
      <c r="B213" s="23" t="s">
        <v>264</v>
      </c>
      <c r="C213" s="23" t="s">
        <v>245</v>
      </c>
      <c r="E213" t="s">
        <v>241</v>
      </c>
      <c r="F213" t="str">
        <f t="shared" si="0"/>
        <v xml:space="preserve">     Entre 50 y 100 SMLMV </v>
      </c>
    </row>
    <row r="214" spans="1:8" ht="21" x14ac:dyDescent="0.35">
      <c r="A214" s="75"/>
      <c r="B214" s="23" t="s">
        <v>264</v>
      </c>
      <c r="C214" s="23" t="s">
        <v>249</v>
      </c>
      <c r="E214" t="s">
        <v>245</v>
      </c>
      <c r="F214" t="str">
        <f t="shared" si="0"/>
        <v xml:space="preserve">     Entre 100 y 500 SMLMV </v>
      </c>
    </row>
    <row r="215" spans="1:8" ht="21" x14ac:dyDescent="0.35">
      <c r="A215" s="75"/>
      <c r="B215" s="23" t="s">
        <v>231</v>
      </c>
      <c r="C215" s="23" t="s">
        <v>235</v>
      </c>
      <c r="E215" t="s">
        <v>249</v>
      </c>
      <c r="F215" t="str">
        <f t="shared" si="0"/>
        <v xml:space="preserve">     Mayor a 500 SMLMV </v>
      </c>
    </row>
    <row r="216" spans="1:8" ht="21" x14ac:dyDescent="0.35">
      <c r="A216" s="75"/>
      <c r="B216" s="23" t="s">
        <v>231</v>
      </c>
      <c r="C216" s="23" t="s">
        <v>239</v>
      </c>
      <c r="D216" t="s">
        <v>231</v>
      </c>
      <c r="F216" t="str">
        <f t="shared" si="0"/>
        <v>Pérdida Reputacional</v>
      </c>
    </row>
    <row r="217" spans="1:8" ht="21" x14ac:dyDescent="0.35">
      <c r="A217" s="75"/>
      <c r="B217" s="23" t="s">
        <v>231</v>
      </c>
      <c r="C217" s="23" t="s">
        <v>242</v>
      </c>
      <c r="E217" t="s">
        <v>235</v>
      </c>
      <c r="F217" t="str">
        <f t="shared" si="0"/>
        <v xml:space="preserve">     El riesgo afecta la imagen de alguna área de la organización</v>
      </c>
    </row>
    <row r="218" spans="1:8" ht="21" x14ac:dyDescent="0.35">
      <c r="A218" s="75"/>
      <c r="B218" s="23" t="s">
        <v>231</v>
      </c>
      <c r="C218" s="23" t="s">
        <v>266</v>
      </c>
      <c r="E218" t="s">
        <v>239</v>
      </c>
      <c r="F218" t="str">
        <f t="shared" si="0"/>
        <v xml:space="preserve">     El riesgo afecta la imagen de la entidad internamente, de conocimiento general, nivel interno, de junta dircetiva y accionistas y/o de provedores</v>
      </c>
    </row>
    <row r="219" spans="1:8" ht="21" x14ac:dyDescent="0.35">
      <c r="A219" s="75"/>
      <c r="B219" s="23" t="s">
        <v>231</v>
      </c>
      <c r="C219" s="23" t="s">
        <v>250</v>
      </c>
      <c r="E219" t="s">
        <v>242</v>
      </c>
      <c r="F219" t="str">
        <f t="shared" si="0"/>
        <v xml:space="preserve">     El riesgo afecta la imagen de la entidad con algunos usuarios de relevancia frente al logro de los objetivos</v>
      </c>
    </row>
    <row r="220" spans="1:8" x14ac:dyDescent="0.25">
      <c r="A220" s="75"/>
      <c r="B220" s="24"/>
      <c r="C220" s="24"/>
      <c r="E220" t="s">
        <v>266</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250</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267</v>
      </c>
    </row>
    <row r="224" spans="1:8" x14ac:dyDescent="0.25">
      <c r="B224" s="19"/>
      <c r="C224" s="19"/>
      <c r="F224" s="27" t="s">
        <v>268</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Listas</vt:lpstr>
      <vt:lpstr>Matriz Calor Inherente</vt:lpstr>
      <vt:lpstr>Matriz Calor Residual</vt:lpstr>
      <vt:lpstr>Tabla Valoración controles</vt:lpstr>
      <vt:lpstr>Tabla probabilidad</vt:lpstr>
      <vt:lpstr>Tabla Impacto</vt:lpstr>
      <vt:lpstr>Sheet1</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2023-12-06T19:42:20Z</dcterms:modified>
  <cp:category/>
  <cp:contentStatus/>
</cp:coreProperties>
</file>