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68" documentId="11_481894884194B0F1AB862DFB96AF75290BD54001" xr6:coauthVersionLast="47" xr6:coauthVersionMax="47" xr10:uidLastSave="{D5CF4073-4EC9-4207-B1CE-C25395ECE0A3}"/>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M12" i="1" s="1"/>
  <c r="O12" i="1"/>
  <c r="P12" i="1" s="1"/>
  <c r="Q12" i="1" s="1"/>
  <c r="V12" i="1"/>
  <c r="Y12" i="1"/>
  <c r="AG12" i="1" l="1"/>
  <c r="AF12" i="1" s="1"/>
  <c r="AC12" i="1"/>
  <c r="R12" i="1"/>
  <c r="Y14" i="1"/>
  <c r="V14" i="1"/>
  <c r="L14" i="1"/>
  <c r="Y13" i="1"/>
  <c r="V13" i="1"/>
  <c r="O13" i="1"/>
  <c r="P13" i="1" s="1"/>
  <c r="Q13" i="1" s="1"/>
  <c r="L13" i="1"/>
  <c r="L19" i="1"/>
  <c r="O14" i="1"/>
  <c r="AD12" i="1" l="1"/>
  <c r="AH12" i="1" s="1"/>
  <c r="AE12" i="1"/>
  <c r="P14" i="1"/>
  <c r="Q14" i="1" s="1"/>
  <c r="AG14" i="1" s="1"/>
  <c r="AF14" i="1" s="1"/>
  <c r="R13" i="1"/>
  <c r="AG13" i="1"/>
  <c r="AF13" i="1" s="1"/>
  <c r="M14" i="1"/>
  <c r="AC14" i="1" s="1"/>
  <c r="M13" i="1"/>
  <c r="AC13" i="1" s="1"/>
  <c r="F221" i="13"/>
  <c r="F211" i="13"/>
  <c r="F212" i="13"/>
  <c r="F213" i="13"/>
  <c r="F214" i="13"/>
  <c r="F215" i="13"/>
  <c r="F216" i="13"/>
  <c r="F217" i="13"/>
  <c r="F218" i="13"/>
  <c r="F219" i="13"/>
  <c r="F220" i="13"/>
  <c r="F210" i="13"/>
  <c r="B221" i="13" a="1"/>
  <c r="R14" i="1" l="1"/>
  <c r="AE13" i="1"/>
  <c r="AD13" i="1"/>
  <c r="AH13" i="1" s="1"/>
  <c r="AE14" i="1"/>
  <c r="AD14" i="1"/>
  <c r="AH14" i="1" s="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<sst xmlns="http://schemas.openxmlformats.org/spreadsheetml/2006/main" count="435" uniqueCount="290">
  <si>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</si>
  <si>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</si>
  <si>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</si>
  <si>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</si>
  <si>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</si>
  <si>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</si>
  <si>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</si>
  <si>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</si>
  <si>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</si>
  <si>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</si>
  <si>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</si>
  <si>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</si>
  <si>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</si>
  <si>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</si>
  <si>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</si>
  <si>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</si>
  <si>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</si>
  <si>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</si>
  <si>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</si>
  <si>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</si>
  <si>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</si>
  <si>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</si>
  <si>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</si>
  <si>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</si>
  <si>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</si>
  <si>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</si>
  <si>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</si>
  <si>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</si>
  <si>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</si>
  <si>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</si>
  <si>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</si>
  <si>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</si>
  <si>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</si>
  <si>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</si>
  <si>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</si>
  <si>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</si>
  <si>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</si>
  <si>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</si>
  <si>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</si>
  <si>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</si>
  <si>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</si>
  <si>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</si>
  <si>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</si>
  <si>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</si>
  <si>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</si>
  <si>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</si>
  <si>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</si>
  <si>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</si>
  <si>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</si>
  <si>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</si>
  <si>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</si>
  <si>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</si>
  <si>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</si>
  <si>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</si>
  <si>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</si>
  <si>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</si>
  <si>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</si>
  <si>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</si>
  <si>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</si>
  <si>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</si>
  <si>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</si>
  <si>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</si>
  <si>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</si>
  <si>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</si>
  <si>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</si>
  <si>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</si>
  <si>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</si>
  <si>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</si>
  <si>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</si>
  <si>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</si>
  <si>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</si>
  <si>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</si>
  <si>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</si>
  <si>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</si>
  <si>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</si>
  <si>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</si>
  <si>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</si>
  <si>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</si>
  <si>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</si>
  <si>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</si>
  <si>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</si>
  <si>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</si>
  <si>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</si>
  <si>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</si>
  <si>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</si>
  <si>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</si>
  <si>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</si>
  <si>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</si>
  <si>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</si>
  <si>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</si>
  <si>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</si>
  <si>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</si>
  <si>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</si>
  <si>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</si>
  <si>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</si>
  <si>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</si>
  <si>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</si>
  <si>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</si>
  <si>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</si>
  <si>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</si>
  <si>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</si>
  <si>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</si>
  <si>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</si>
  <si>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</si>
  <si>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</si>
  <si>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</si>
  <si>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</si>
  <si>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</si>
  <si>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</si>
  <si>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</si>
  <si>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</si>
  <si>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</si>
  <si>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</si>
  <si>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</si>
  <si>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</si>
  <si>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</si>
  <si>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</si>
  <si>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</si>
  <si>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</si>
  <si>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</si>
  <si>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</si>
  <si>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</si>
  <si>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</si>
  <si>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</si>
  <si>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</si>
  <si>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</si>
  <si>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</si>
  <si>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</si>
  <si>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</si>
  <si>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</si>
  <si>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</si>
  <si>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</si>
  <si>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</si>
  <si>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</si>
  <si>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</si>
  <si>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</si>
  <si>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</si>
  <si>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</si>
  <si>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</si>
  <si>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</si>
  <si>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</si>
  <si>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</si>
  <si>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</si>
  <si>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</si>
  <si>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</si>
  <si>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</si>
  <si>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</si>
  <si>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</si>
  <si>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</si>
  <si>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</si>
  <si>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</si>
  <si>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</si>
  <si>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</si>
  <si>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</si>
  <si>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</si>
  <si>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</si>
  <si>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</si>
  <si>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</si>
  <si>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</si>
  <si>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</si>
  <si>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</si>
  <si>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</si>
  <si>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</si>
  <si>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</si>
  <si>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</si>
  <si>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</si>
  <si>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</si>
  <si>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</si>
  <si>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</si>
  <si>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</si>
  <si>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</si>
  <si>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</si>
  <si>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</si>
  <si>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</si>
  <si>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</si>
  <si>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</si>
  <si>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</si>
  <si>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</si>
  <si>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</si>
  <si>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</si>
  <si>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</si>
  <si>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</si>
  <si>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</si>
  <si>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</si>
  <si>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</si>
  <si>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</si>
  <si>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</si>
  <si>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</si>
  <si>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</si>
  <si>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</si>
  <si>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</si>
  <si>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</si>
  <si>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</si>
  <si>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</si>
  <si>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</si>
  <si>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</si>
  <si>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</si>
  <si>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</si>
  <si>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</si>
  <si>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</si>
  <si>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</si>
  <si>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</si>
  <si>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</si>
  <si>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</si>
  <si>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</si>
  <si>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</si>
  <si>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</si>
  <si>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</si>
  <si>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</si>
  <si>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</si>
  <si>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</si>
  <si>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</si>
  <si>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</si>
  <si>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</si>
  <si>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</si>
  <si>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</si>
  <si>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</si>
  <si>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</si>
  <si>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</si>
  <si>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</si>
  <si>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</si>
  <si>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</si>
  <si>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</si>
  <si>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</si>
  <si>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</si>
  <si>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</si>
  <si>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</si>
  <si>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</si>
  <si>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</si>
  <si>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</si>
  <si>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</si>
  <si>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</si>
  <si>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</si>
  <si>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</si>
  <si>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</si>
  <si>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</si>
  <si>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</si>
  <si>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</si>
  <si>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</si>
  <si>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</si>
  <si>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</si>
  <si>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</si>
  <si>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</si>
  <si>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</si>
  <si>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</si>
  <si>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</si>
  <si>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</si>
  <si>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</si>
  <si>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</si>
  <si>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</si>
  <si>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</si>
  <si>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</si>
  <si>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</si>
  <si>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</si>
  <si>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INVESTIGACIÓN</t>
  </si>
  <si>
    <t>Apoyar la investigación en la ETITC, mediante el fomento a las Actividades de Ciencia Tecnología e innovación ACTI, la generación del conocimiento y la gestión de la transferencia del conocimiento, para insertarse en el Sistema Nacional de Ciencia, Tecnología e Innovación.</t>
  </si>
  <si>
    <t>Desde la estructuración de programas de formación investigativa, el apoyo a las ACTI y a la gestión de transferencia del conocimiento hasta la difusión de sus resultados.</t>
  </si>
  <si>
    <r>
      <rPr>
        <b/>
        <sz val="14"/>
        <rFont val="Arial Narrow"/>
        <family val="2"/>
      </rPr>
      <t>LIDER DEL PROCESO:</t>
    </r>
    <r>
      <rPr>
        <sz val="14"/>
        <rFont val="Arial Narrow"/>
        <family val="2"/>
      </rPr>
      <t xml:space="preserve"> Armando Solano Suárez</t>
    </r>
  </si>
  <si>
    <t>No registro de productos de investigación</t>
  </si>
  <si>
    <t>Ejecución y Administración de procesos</t>
  </si>
  <si>
    <t>Contratista Semilleros</t>
  </si>
  <si>
    <t xml:space="preserve">Informe de verificación de existencia y calidad de  productos </t>
  </si>
  <si>
    <t>Plan de acompañamiento a grupos de investigación</t>
  </si>
  <si>
    <t>Contratista Apoyo a la investigación</t>
  </si>
  <si>
    <t>Posibilidad de afectación reputacional debido a que los productos en los  proyectos de investigación no se desarrollen segùn los objetivos propuestos</t>
  </si>
  <si>
    <t xml:space="preserve"> 
 Falta de habilidades para desarrollar procesos de investigación.</t>
  </si>
  <si>
    <t>Programar cursos y acompañamientos para fortalecer las habilidades de los investigadores</t>
  </si>
  <si>
    <t>Programaciòn de cursos y listas de asistencia de los acopañamientos realizados</t>
  </si>
  <si>
    <t>Vicerrectoría de Investigaciòn</t>
  </si>
  <si>
    <t>No se presto el acompañamiento previsto al semillero</t>
  </si>
  <si>
    <t xml:space="preserve">Inhadecuada planaeciòn de las actividades para el semillero para el semestre
</t>
  </si>
  <si>
    <t>Aprobaciòn y seguimiento al plan de trabajo planteado por el semillero</t>
  </si>
  <si>
    <t>Informe semestral de los semilleros</t>
  </si>
  <si>
    <t>Mantener los controles establecidos en el procedimiento</t>
  </si>
  <si>
    <t xml:space="preserve">Posibilidad de afectación reputacional debido a la verificaciòn de registros en GrupLac y Cvlac con información indebidamente soportada para favorecimiento de terceros </t>
  </si>
  <si>
    <t>Reportar productos de manera erronea</t>
  </si>
  <si>
    <t>No validar la autenticidad de los docuementos que soportan existencia y calidad de los productos</t>
  </si>
  <si>
    <t xml:space="preserve">Verificaciòn de la autenticidad de los productos </t>
  </si>
  <si>
    <t>Plan de trabajo para el fortalecimiento de los grupos de investigación de cara a la próxima convocatoria de Minciencias.  Estudios cieciométricos  de las líneas de investigación de los grupos.  informe convocatoria 894 de Minciencias. Capacitación CvLac a estudiantes el 28 de marzo.</t>
  </si>
  <si>
    <t>Inscripción semilleros de investigción del 1 al 16 de febrero, se crearon 15 semilleros con un total de 199 estudiantes. El 25 de marzo se llevó a cabo la conferencia “Formación en investigación Estudiantil” con la participación de más de 100 estudiantes.  Encuentros personalizados con Directores y estudiantes semilleristas.</t>
  </si>
  <si>
    <t>Informe convocatoria 894 de Minciencias. Capacitación CvLac a estudiantes el 28 de marzo.</t>
  </si>
  <si>
    <t xml:space="preserve">Socializaciòn de los avances de los proyectos de investigaciòn </t>
  </si>
  <si>
    <t>Posibilidad de afectación económica y reputacional debido a que no se cumplan con las expectativas de los estudiantes vinculados a los semilleros</t>
  </si>
  <si>
    <t>Se reporta que el riesgo no se materializó en el periodo mayo-julio.
Para el periodo de reporte, La Vicerrectoría de Investigación desarrolló los siguientes cursos:
- Plataforma Turnitin (25 de julio)
- Propiedad intelectual (en curso)
Como soporte de lo anterior, el área presenta los listados de asistencia de los cursos.
Frente a la socialización de avances de los proyectos de investigación se llevó a cabo el 3 de junio, "Socialización de avances de proyectos de semillero", donde se presentaron 13 proyectos de investigación, como soporte de lo anterior, el área presenta los informes técnicos de avance de los proyectos de semilleros; se propone una nueva socialización a mediados del segundo semestre de 2022.</t>
  </si>
  <si>
    <t>Se reporta que el riesgo no se materializó en el periodo mayo-julio.
Para el periodo de reporte, se elaboraron los informes técnicos de avance de los proyectos de semilleros 2022-1 y el informe de la oficina estudiantil de investigación (con corte a junio).
Adicionalmente, se presentan soportes de la participación de estudiantes en RedColsi y Acodal.</t>
  </si>
  <si>
    <t>Se reporta que el riesgo no se materializó en el periodo mayo-julio.
El Informe de verificación de existencia y calidad de  productos se realiza cuando se cierra una convocatoria, no obstante, se presenta el detalle de acciones de seguimiento y acompañamiento a los grupos, a saber:
- Establecimiento de plan de trabajo para el fortalecimiento de cara a la próxima convocatoria de Minciencias.
- Caracterización de productividad ETITC 
- Estrategia productos de Formación 
- Estudios cienciométricos de las líneas de investigación de los grupos 
- Informe convocatoria 894 de Minciencias 
- Base de datos Institulac 
Como soporte de lo anterior, el área responsable compartió una carpeta con las evidencias de acciones de seguimiento y acompañamiento a los grupos.</t>
  </si>
  <si>
    <t>Mediante el seguimiento efectuado se observó que fue realizado el curso en propiedad industrial, el cual inició el 10 de agosto y finalizó el 7 de septiembre, estas comprendieron 5 encuentros presenciales en el auditorio de la ETITC de dos hrs, de igual forma, en el mes de septiembre fueron entregados los certificados firmados por el Vicerrector de Investigación en ceremonia en el teatro de la Escuela a los 18 participantes que cumplieron la totalidad de los requisitos de asistencia a las sesiones,  así mismo, se encuentra en ejecución el curso de semilleros de investigación “Formación en Investigación ETITC” dirigido a estudiantes en el campus virtual que inició desde el 26 de septiembre y termina el 30 de noviembre, se observa la estructura del curso en la plataforma, perfiles académicos, entre otros, del cual como evaluación final deben entregar una actividad donde deben aplicar los contenidos del curso, este documentos debe realizarse de acuerdo a los aplicativos google scholar, orcid y cvlac, a la fecha del seguimiento no  es posible verificar los listados ya que es libre la ejecución del mismo de forma virtual y no contempla tiempo de permanencia diaria en la plataforma, por lo que a cada estudiante que cumpla con el entregable en la plataforma se le generará el certificado de aprobados. Actividades que contribuyen con la mitigación del riesgo identificado.</t>
  </si>
  <si>
    <t>Por medio del seguimiento efectuado se evidencio que para el periodo los investigadores participaron en diferentes eventos académicos como: el campamento de investigación en el cual conto con 41 estudiantes, dicho evento fue publicado y promovido en el portal web y en las redes sociales institucionales, este evento fue llevado a cabo del 19 al 21 de agosto en Sasaima, de igual forma fue presentado el informe con las actividades desarrolladas, con los participantes que incluye evidencia fotográfica, 
Se realizó el encuentro de semilleros Interinstitucional entre la Fundación Universitaria del área Andina, La Salle y la ETITC en el mes de octubre en las instalaciones de la Universidad de la Salle,  del cual participaron 14 semilleros de la escuela con dos estudiantes por cada uno de ellos,  en donde la escuela obtuvo dos premios a investigación segundo y tercer puesto, Adicionalmente, asistieron a la primera reunión REDIETITC llevada a cabo en el mes de septiembre, con una participación de 23 personas lideres de cada semillero, También se participó en la REDCOLSI en la ciudad de Medellín en el mismo mes, la cual contó con la movilidad de 20 estudiantes de diferentes semilleros, en la Universidad Medellín, de igual modo, se llevó a cabo la participación de un docente y un estudiantes en el encuentro Internacional de ciencia y tecnología en la Universidad campus Unit en Lima Perú, del 14 al 18 de noviembre, Para finalizar, fue suscrito el contrato No. 250 y 271 para el suministro de elementos requeridos para el desarrollo de proyectos de semilleros y serán distribuidos según el proyecto a ejecutar para el primer semestre 2023. Se observa que al finalizar cada semillero se presenta un informe, identificando que no se ha materializado el riesgo debido a que han implementado los controles propuestos.</t>
  </si>
  <si>
    <t>A partir del seguimiento efectuado se observo que el informe es entregado al finalizar cada convocatoria de Minciencias las cuales se realizan cada dos años, dicho informe fue remitido en el mes de mayo en el que se plasmo el desarrollo de las actividades correspondientes al semestre, con las innovaciones el procedimiento de servicios, verifican la existencia de los grupos y la calidad que exige el ministerio, así mismo, en los grupos de investigación como sapientiam, en la estrategia hakeaton se observa  el certificado el 8 de julio de 2022, como los certificados en el GEA certificados de innovación para la Norma Técnica 2252 Seguridad de artefactos electrodomésticos y artefactos similares, la  Norma 6228 Requerimientos de seguridad y medioambientales en sistemas de refrigeración, En cuanto a CVLAC se registran las hojas de vida de los investigadores para actualizar la productividad generada por cada grupo como capacitaciones y proyectos verificados por investigación para aprobación, , así mismo, se observa correo del 11 de noviembre para los grupos de investigación recordando alimentar la base GRUPLAC, De otra parte, se observó la creación del tablero de datos publicado en el portal web, con el registro de los 9 grupos de investigación avalados x la vicerrectoría en el sistema de ciencia y tecnología, en Minciencias se encuentran reconocidos en la categoría C los grupos de GEA y VIRTUS, estos dos cuentan con las líneas de investigación y productividad, finalmente, en la página de min ciencias se observan las convocatorias, el respectivo cronograma de lanzamiento cierre y fecha de publicación de resultados, esta convocatoria presento dos adendas y ampliación de plazos por el tema el Covid. Actividades que contribuyen con la mitigación del riesgo identificado.</t>
  </si>
  <si>
    <t>Fecha de actualización: 15/11/2022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</si>
</sst>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1"/>
      <color theme="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5">
    <xf numFmtId="0" fontId="0" fillId="0" borderId="0"/>
    <xf numFmtId="9" fontId="13" fillId="0" borderId="0" applyFont="0" applyFill="0" applyBorder="0" applyAlignment="0" applyProtection="0"/>
    <xf numFmtId="0" fontId="45" fillId="0" borderId="0"/>
    <xf numFmtId="0" fontId="46" fillId="0" borderId="0"/>
    <xf numFmtId="0" fontId="5" fillId="0" borderId="0"/>
  </cellStyleXfs>
  <cellXfs count="370">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22" fillId="13" borderId="12"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69" xfId="0" applyFont="1" applyBorder="1" applyAlignment="1">
      <alignment horizontal="center" vertical="center" wrapText="1"/>
    </xf>
    <xf numFmtId="0" fontId="64" fillId="0" borderId="69"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center" vertical="center"/>
    </xf>
    <xf numFmtId="0" fontId="1" fillId="0" borderId="0" xfId="0" applyFont="1" applyAlignment="1">
      <alignment wrapText="1"/>
    </xf>
    <xf numFmtId="0" fontId="1"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1" fillId="3" borderId="0" xfId="0" applyFont="1" applyFill="1" applyAlignment="1">
      <alignment vertical="center"/>
    </xf>
    <xf numFmtId="0" fontId="1" fillId="0" borderId="0" xfId="0" applyFont="1" applyAlignment="1">
      <alignment vertical="center"/>
    </xf>
    <xf numFmtId="0" fontId="1" fillId="3" borderId="0" xfId="0" applyFont="1" applyFill="1" applyAlignment="1">
      <alignment horizontal="center" vertical="center"/>
    </xf>
    <xf numFmtId="0" fontId="1" fillId="0" borderId="21" xfId="0" applyFont="1" applyBorder="1" applyAlignment="1" applyProtection="1">
      <alignment horizontal="left" vertical="center" wrapText="1"/>
      <protection locked="0"/>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63" xfId="0" applyFont="1" applyFill="1" applyBorder="1" applyAlignment="1">
      <alignment horizontal="center" vertical="center"/>
    </xf>
    <xf numFmtId="0" fontId="60" fillId="7" borderId="57" xfId="0" applyFont="1" applyFill="1" applyBorder="1" applyAlignment="1">
      <alignment horizontal="center" vertical="center"/>
    </xf>
    <xf numFmtId="0" fontId="60" fillId="7" borderId="21" xfId="0" applyFont="1" applyFill="1" applyBorder="1" applyAlignment="1">
      <alignment horizontal="center" vertical="center" wrapText="1"/>
    </xf>
    <xf numFmtId="0" fontId="59" fillId="7" borderId="67" xfId="0" applyFont="1" applyFill="1" applyBorder="1" applyAlignment="1">
      <alignment horizontal="center" vertical="center"/>
    </xf>
    <xf numFmtId="0" fontId="59" fillId="7" borderId="68" xfId="0" applyFont="1" applyFill="1" applyBorder="1" applyAlignment="1">
      <alignment horizontal="center" vertical="center"/>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wrapText="1"/>
    </xf>
    <xf numFmtId="0" fontId="64" fillId="0" borderId="69" xfId="0" applyFont="1" applyBorder="1" applyAlignment="1">
      <alignment horizontal="center" vertical="center" wrapText="1"/>
    </xf>
    <xf numFmtId="0" fontId="65" fillId="0" borderId="69" xfId="0" applyFont="1" applyBorder="1" applyAlignment="1">
      <alignment horizontal="center"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48" fillId="0" borderId="68" xfId="0" applyFont="1" applyBorder="1" applyAlignment="1">
      <alignment horizontal="left" vertical="center" wrapText="1"/>
    </xf>
    <xf numFmtId="0" fontId="1"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63" fillId="0" borderId="21" xfId="0" applyFont="1" applyBorder="1" applyAlignment="1">
      <alignment horizontal="left" vertical="center" wrapText="1"/>
    </xf>
    <xf numFmtId="0" fontId="58"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56" fillId="0" borderId="21" xfId="0" applyFont="1" applyBorder="1" applyAlignment="1">
      <alignment horizontal="left" vertical="center"/>
    </xf>
    <xf numFmtId="0" fontId="61" fillId="0" borderId="67" xfId="0" applyFont="1" applyBorder="1" applyAlignment="1">
      <alignment horizontal="left" vertical="center"/>
    </xf>
    <xf numFmtId="0" fontId="61" fillId="0" borderId="66" xfId="0" applyFont="1" applyBorder="1" applyAlignment="1">
      <alignment horizontal="left" vertical="center"/>
    </xf>
    <xf numFmtId="0" fontId="61" fillId="0" borderId="68" xfId="0" applyFont="1" applyBorder="1" applyAlignment="1">
      <alignment horizontal="left" vertical="center"/>
    </xf>
    <xf numFmtId="0" fontId="61" fillId="0" borderId="67" xfId="0" applyFont="1" applyBorder="1" applyAlignment="1">
      <alignment horizontal="left" vertical="center" wrapText="1"/>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2" fillId="0" borderId="21" xfId="0" applyFont="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787432</xdr:colOff>
      <xdr:row>0</xdr:row>
      <xdr:rowOff>88075</xdr:rowOff>
    </xdr:from>
    <xdr:to>
      <xdr:col>6</xdr:col>
      <xdr:colOff>774050</xdr:colOff>
      <xdr:row>1</xdr:row>
      <xdr:rowOff>355435</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3118" y="88075"/>
          <a:ext cx="813932"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Inv%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73" t="s">
        <v>163</v>
      </c>
      <c r="C2" s="174"/>
      <c r="D2" s="174"/>
      <c r="E2" s="174"/>
      <c r="F2" s="174"/>
      <c r="G2" s="174"/>
      <c r="H2" s="175"/>
    </row>
    <row r="3" spans="2:8" x14ac:dyDescent="0.25">
      <c r="B3" s="76"/>
      <c r="C3" s="77"/>
      <c r="D3" s="77"/>
      <c r="E3" s="77"/>
      <c r="F3" s="77"/>
      <c r="G3" s="77"/>
      <c r="H3" s="78"/>
    </row>
    <row r="4" spans="2:8" ht="63" customHeight="1" x14ac:dyDescent="0.25">
      <c r="B4" s="176" t="s">
        <v>206</v>
      </c>
      <c r="C4" s="177"/>
      <c r="D4" s="177"/>
      <c r="E4" s="177"/>
      <c r="F4" s="177"/>
      <c r="G4" s="177"/>
      <c r="H4" s="178"/>
    </row>
    <row r="5" spans="2:8" ht="63" customHeight="1" x14ac:dyDescent="0.25">
      <c r="B5" s="179"/>
      <c r="C5" s="180"/>
      <c r="D5" s="180"/>
      <c r="E5" s="180"/>
      <c r="F5" s="180"/>
      <c r="G5" s="180"/>
      <c r="H5" s="181"/>
    </row>
    <row r="6" spans="2:8" ht="16.5" x14ac:dyDescent="0.25">
      <c r="B6" s="182" t="s">
        <v>161</v>
      </c>
      <c r="C6" s="183"/>
      <c r="D6" s="183"/>
      <c r="E6" s="183"/>
      <c r="F6" s="183"/>
      <c r="G6" s="183"/>
      <c r="H6" s="184"/>
    </row>
    <row r="7" spans="2:8" ht="95.25" customHeight="1" x14ac:dyDescent="0.25">
      <c r="B7" s="192" t="s">
        <v>166</v>
      </c>
      <c r="C7" s="193"/>
      <c r="D7" s="193"/>
      <c r="E7" s="193"/>
      <c r="F7" s="193"/>
      <c r="G7" s="193"/>
      <c r="H7" s="194"/>
    </row>
    <row r="8" spans="2:8" ht="16.5" x14ac:dyDescent="0.25">
      <c r="B8" s="112"/>
      <c r="C8" s="113"/>
      <c r="D8" s="113"/>
      <c r="E8" s="113"/>
      <c r="F8" s="113"/>
      <c r="G8" s="113"/>
      <c r="H8" s="114"/>
    </row>
    <row r="9" spans="2:8" ht="16.5" customHeight="1" x14ac:dyDescent="0.25">
      <c r="B9" s="185" t="s">
        <v>199</v>
      </c>
      <c r="C9" s="186"/>
      <c r="D9" s="186"/>
      <c r="E9" s="186"/>
      <c r="F9" s="186"/>
      <c r="G9" s="186"/>
      <c r="H9" s="187"/>
    </row>
    <row r="10" spans="2:8" ht="44.25" customHeight="1" x14ac:dyDescent="0.25">
      <c r="B10" s="185"/>
      <c r="C10" s="186"/>
      <c r="D10" s="186"/>
      <c r="E10" s="186"/>
      <c r="F10" s="186"/>
      <c r="G10" s="186"/>
      <c r="H10" s="187"/>
    </row>
    <row r="11" spans="2:8" ht="15.75" thickBot="1" x14ac:dyDescent="0.3">
      <c r="B11" s="101"/>
      <c r="C11" s="104"/>
      <c r="D11" s="109"/>
      <c r="E11" s="110"/>
      <c r="F11" s="110"/>
      <c r="G11" s="111"/>
      <c r="H11" s="105"/>
    </row>
    <row r="12" spans="2:8" ht="15.75" thickTop="1" x14ac:dyDescent="0.25">
      <c r="B12" s="101"/>
      <c r="C12" s="188" t="s">
        <v>162</v>
      </c>
      <c r="D12" s="189"/>
      <c r="E12" s="190" t="s">
        <v>200</v>
      </c>
      <c r="F12" s="191"/>
      <c r="G12" s="104"/>
      <c r="H12" s="105"/>
    </row>
    <row r="13" spans="2:8" ht="35.25" customHeight="1" x14ac:dyDescent="0.25">
      <c r="B13" s="101"/>
      <c r="C13" s="160" t="s">
        <v>193</v>
      </c>
      <c r="D13" s="161"/>
      <c r="E13" s="162" t="s">
        <v>198</v>
      </c>
      <c r="F13" s="163"/>
      <c r="G13" s="104"/>
      <c r="H13" s="105"/>
    </row>
    <row r="14" spans="2:8" ht="17.25" customHeight="1" x14ac:dyDescent="0.25">
      <c r="B14" s="101"/>
      <c r="C14" s="160" t="s">
        <v>194</v>
      </c>
      <c r="D14" s="161"/>
      <c r="E14" s="162" t="s">
        <v>196</v>
      </c>
      <c r="F14" s="163"/>
      <c r="G14" s="104"/>
      <c r="H14" s="105"/>
    </row>
    <row r="15" spans="2:8" ht="19.5" customHeight="1" x14ac:dyDescent="0.25">
      <c r="B15" s="101"/>
      <c r="C15" s="160" t="s">
        <v>195</v>
      </c>
      <c r="D15" s="161"/>
      <c r="E15" s="162" t="s">
        <v>197</v>
      </c>
      <c r="F15" s="163"/>
      <c r="G15" s="104"/>
      <c r="H15" s="105"/>
    </row>
    <row r="16" spans="2:8" ht="69.75" customHeight="1" x14ac:dyDescent="0.25">
      <c r="B16" s="101"/>
      <c r="C16" s="160" t="s">
        <v>164</v>
      </c>
      <c r="D16" s="161"/>
      <c r="E16" s="162" t="s">
        <v>165</v>
      </c>
      <c r="F16" s="163"/>
      <c r="G16" s="104"/>
      <c r="H16" s="105"/>
    </row>
    <row r="17" spans="2:8" ht="34.5" customHeight="1" x14ac:dyDescent="0.25">
      <c r="B17" s="101"/>
      <c r="C17" s="164" t="s">
        <v>2</v>
      </c>
      <c r="D17" s="165"/>
      <c r="E17" s="156" t="s">
        <v>207</v>
      </c>
      <c r="F17" s="157"/>
      <c r="G17" s="104"/>
      <c r="H17" s="105"/>
    </row>
    <row r="18" spans="2:8" ht="27.75" customHeight="1" x14ac:dyDescent="0.25">
      <c r="B18" s="101"/>
      <c r="C18" s="164" t="s">
        <v>3</v>
      </c>
      <c r="D18" s="165"/>
      <c r="E18" s="156" t="s">
        <v>208</v>
      </c>
      <c r="F18" s="157"/>
      <c r="G18" s="104"/>
      <c r="H18" s="105"/>
    </row>
    <row r="19" spans="2:8" ht="28.5" customHeight="1" x14ac:dyDescent="0.25">
      <c r="B19" s="101"/>
      <c r="C19" s="164" t="s">
        <v>41</v>
      </c>
      <c r="D19" s="165"/>
      <c r="E19" s="156" t="s">
        <v>209</v>
      </c>
      <c r="F19" s="157"/>
      <c r="G19" s="104"/>
      <c r="H19" s="105"/>
    </row>
    <row r="20" spans="2:8" ht="72.75" customHeight="1" x14ac:dyDescent="0.25">
      <c r="B20" s="101"/>
      <c r="C20" s="164" t="s">
        <v>1</v>
      </c>
      <c r="D20" s="165"/>
      <c r="E20" s="156" t="s">
        <v>210</v>
      </c>
      <c r="F20" s="157"/>
      <c r="G20" s="104"/>
      <c r="H20" s="105"/>
    </row>
    <row r="21" spans="2:8" ht="64.5" customHeight="1" x14ac:dyDescent="0.25">
      <c r="B21" s="101"/>
      <c r="C21" s="164" t="s">
        <v>49</v>
      </c>
      <c r="D21" s="165"/>
      <c r="E21" s="156" t="s">
        <v>168</v>
      </c>
      <c r="F21" s="157"/>
      <c r="G21" s="104"/>
      <c r="H21" s="105"/>
    </row>
    <row r="22" spans="2:8" ht="71.25" customHeight="1" x14ac:dyDescent="0.25">
      <c r="B22" s="101"/>
      <c r="C22" s="164" t="s">
        <v>167</v>
      </c>
      <c r="D22" s="165"/>
      <c r="E22" s="156" t="s">
        <v>169</v>
      </c>
      <c r="F22" s="157"/>
      <c r="G22" s="104"/>
      <c r="H22" s="105"/>
    </row>
    <row r="23" spans="2:8" ht="55.5" customHeight="1" x14ac:dyDescent="0.25">
      <c r="B23" s="101"/>
      <c r="C23" s="158" t="s">
        <v>170</v>
      </c>
      <c r="D23" s="159"/>
      <c r="E23" s="156" t="s">
        <v>171</v>
      </c>
      <c r="F23" s="157"/>
      <c r="G23" s="104"/>
      <c r="H23" s="105"/>
    </row>
    <row r="24" spans="2:8" ht="42" customHeight="1" x14ac:dyDescent="0.25">
      <c r="B24" s="101"/>
      <c r="C24" s="158" t="s">
        <v>47</v>
      </c>
      <c r="D24" s="159"/>
      <c r="E24" s="156" t="s">
        <v>172</v>
      </c>
      <c r="F24" s="157"/>
      <c r="G24" s="104"/>
      <c r="H24" s="105"/>
    </row>
    <row r="25" spans="2:8" ht="59.25" customHeight="1" x14ac:dyDescent="0.25">
      <c r="B25" s="101"/>
      <c r="C25" s="158" t="s">
        <v>160</v>
      </c>
      <c r="D25" s="159"/>
      <c r="E25" s="156" t="s">
        <v>173</v>
      </c>
      <c r="F25" s="157"/>
      <c r="G25" s="104"/>
      <c r="H25" s="105"/>
    </row>
    <row r="26" spans="2:8" ht="23.25" customHeight="1" x14ac:dyDescent="0.25">
      <c r="B26" s="101"/>
      <c r="C26" s="158" t="s">
        <v>12</v>
      </c>
      <c r="D26" s="159"/>
      <c r="E26" s="156" t="s">
        <v>174</v>
      </c>
      <c r="F26" s="157"/>
      <c r="G26" s="104"/>
      <c r="H26" s="105"/>
    </row>
    <row r="27" spans="2:8" ht="30.75" customHeight="1" x14ac:dyDescent="0.25">
      <c r="B27" s="101"/>
      <c r="C27" s="158" t="s">
        <v>178</v>
      </c>
      <c r="D27" s="159"/>
      <c r="E27" s="156" t="s">
        <v>175</v>
      </c>
      <c r="F27" s="157"/>
      <c r="G27" s="104"/>
      <c r="H27" s="105"/>
    </row>
    <row r="28" spans="2:8" ht="35.25" customHeight="1" x14ac:dyDescent="0.25">
      <c r="B28" s="101"/>
      <c r="C28" s="158" t="s">
        <v>179</v>
      </c>
      <c r="D28" s="159"/>
      <c r="E28" s="156" t="s">
        <v>176</v>
      </c>
      <c r="F28" s="157"/>
      <c r="G28" s="104"/>
      <c r="H28" s="105"/>
    </row>
    <row r="29" spans="2:8" ht="33" customHeight="1" x14ac:dyDescent="0.25">
      <c r="B29" s="101"/>
      <c r="C29" s="158" t="s">
        <v>179</v>
      </c>
      <c r="D29" s="159"/>
      <c r="E29" s="156" t="s">
        <v>176</v>
      </c>
      <c r="F29" s="157"/>
      <c r="G29" s="104"/>
      <c r="H29" s="105"/>
    </row>
    <row r="30" spans="2:8" ht="30" customHeight="1" x14ac:dyDescent="0.25">
      <c r="B30" s="101"/>
      <c r="C30" s="158" t="s">
        <v>180</v>
      </c>
      <c r="D30" s="159"/>
      <c r="E30" s="156" t="s">
        <v>177</v>
      </c>
      <c r="F30" s="157"/>
      <c r="G30" s="104"/>
      <c r="H30" s="105"/>
    </row>
    <row r="31" spans="2:8" ht="35.25" customHeight="1" x14ac:dyDescent="0.25">
      <c r="B31" s="101"/>
      <c r="C31" s="158" t="s">
        <v>181</v>
      </c>
      <c r="D31" s="159"/>
      <c r="E31" s="156" t="s">
        <v>182</v>
      </c>
      <c r="F31" s="157"/>
      <c r="G31" s="104"/>
      <c r="H31" s="105"/>
    </row>
    <row r="32" spans="2:8" ht="31.5" customHeight="1" x14ac:dyDescent="0.25">
      <c r="B32" s="101"/>
      <c r="C32" s="158" t="s">
        <v>183</v>
      </c>
      <c r="D32" s="159"/>
      <c r="E32" s="156" t="s">
        <v>184</v>
      </c>
      <c r="F32" s="157"/>
      <c r="G32" s="104"/>
      <c r="H32" s="105"/>
    </row>
    <row r="33" spans="2:8" ht="35.25" customHeight="1" x14ac:dyDescent="0.25">
      <c r="B33" s="101"/>
      <c r="C33" s="158" t="s">
        <v>185</v>
      </c>
      <c r="D33" s="159"/>
      <c r="E33" s="156" t="s">
        <v>186</v>
      </c>
      <c r="F33" s="157"/>
      <c r="G33" s="104"/>
      <c r="H33" s="105"/>
    </row>
    <row r="34" spans="2:8" ht="59.25" customHeight="1" x14ac:dyDescent="0.25">
      <c r="B34" s="101"/>
      <c r="C34" s="158" t="s">
        <v>187</v>
      </c>
      <c r="D34" s="159"/>
      <c r="E34" s="156" t="s">
        <v>188</v>
      </c>
      <c r="F34" s="157"/>
      <c r="G34" s="104"/>
      <c r="H34" s="105"/>
    </row>
    <row r="35" spans="2:8" ht="29.25" customHeight="1" x14ac:dyDescent="0.25">
      <c r="B35" s="101"/>
      <c r="C35" s="158" t="s">
        <v>29</v>
      </c>
      <c r="D35" s="159"/>
      <c r="E35" s="156" t="s">
        <v>189</v>
      </c>
      <c r="F35" s="157"/>
      <c r="G35" s="104"/>
      <c r="H35" s="105"/>
    </row>
    <row r="36" spans="2:8" ht="82.5" customHeight="1" x14ac:dyDescent="0.25">
      <c r="B36" s="101"/>
      <c r="C36" s="158" t="s">
        <v>191</v>
      </c>
      <c r="D36" s="159"/>
      <c r="E36" s="156" t="s">
        <v>190</v>
      </c>
      <c r="F36" s="157"/>
      <c r="G36" s="104"/>
      <c r="H36" s="105"/>
    </row>
    <row r="37" spans="2:8" ht="46.5" customHeight="1" x14ac:dyDescent="0.25">
      <c r="B37" s="101"/>
      <c r="C37" s="158" t="s">
        <v>38</v>
      </c>
      <c r="D37" s="159"/>
      <c r="E37" s="156" t="s">
        <v>192</v>
      </c>
      <c r="F37" s="157"/>
      <c r="G37" s="104"/>
      <c r="H37" s="105"/>
    </row>
    <row r="38" spans="2:8" ht="6.75" customHeight="1" thickBot="1" x14ac:dyDescent="0.3">
      <c r="B38" s="101"/>
      <c r="C38" s="169"/>
      <c r="D38" s="170"/>
      <c r="E38" s="171"/>
      <c r="F38" s="172"/>
      <c r="G38" s="104"/>
      <c r="H38" s="105"/>
    </row>
    <row r="39" spans="2:8" ht="15.75" thickTop="1" x14ac:dyDescent="0.25">
      <c r="B39" s="101"/>
      <c r="C39" s="102"/>
      <c r="D39" s="102"/>
      <c r="E39" s="103"/>
      <c r="F39" s="103"/>
      <c r="G39" s="104"/>
      <c r="H39" s="105"/>
    </row>
    <row r="40" spans="2:8" ht="21" customHeight="1" x14ac:dyDescent="0.25">
      <c r="B40" s="166" t="s">
        <v>201</v>
      </c>
      <c r="C40" s="167"/>
      <c r="D40" s="167"/>
      <c r="E40" s="167"/>
      <c r="F40" s="167"/>
      <c r="G40" s="167"/>
      <c r="H40" s="168"/>
    </row>
    <row r="41" spans="2:8" ht="20.25" customHeight="1" x14ac:dyDescent="0.25">
      <c r="B41" s="166" t="s">
        <v>202</v>
      </c>
      <c r="C41" s="167"/>
      <c r="D41" s="167"/>
      <c r="E41" s="167"/>
      <c r="F41" s="167"/>
      <c r="G41" s="167"/>
      <c r="H41" s="168"/>
    </row>
    <row r="42" spans="2:8" ht="20.25" customHeight="1" x14ac:dyDescent="0.25">
      <c r="B42" s="166" t="s">
        <v>203</v>
      </c>
      <c r="C42" s="167"/>
      <c r="D42" s="167"/>
      <c r="E42" s="167"/>
      <c r="F42" s="167"/>
      <c r="G42" s="167"/>
      <c r="H42" s="168"/>
    </row>
    <row r="43" spans="2:8" ht="20.25" customHeight="1" x14ac:dyDescent="0.25">
      <c r="B43" s="166" t="s">
        <v>204</v>
      </c>
      <c r="C43" s="167"/>
      <c r="D43" s="167"/>
      <c r="E43" s="167"/>
      <c r="F43" s="167"/>
      <c r="G43" s="167"/>
      <c r="H43" s="168"/>
    </row>
    <row r="44" spans="2:8" x14ac:dyDescent="0.25">
      <c r="B44" s="166" t="s">
        <v>205</v>
      </c>
      <c r="C44" s="167"/>
      <c r="D44" s="167"/>
      <c r="E44" s="167"/>
      <c r="F44" s="167"/>
      <c r="G44" s="167"/>
      <c r="H44" s="168"/>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1"/>
  <sheetViews>
    <sheetView showGridLines="0" tabSelected="1" topLeftCell="A15" zoomScale="90" zoomScaleNormal="90" workbookViewId="0">
      <selection activeCell="L24" sqref="L24"/>
    </sheetView>
  </sheetViews>
  <sheetFormatPr baseColWidth="10" defaultColWidth="11.42578125" defaultRowHeight="16.5" x14ac:dyDescent="0.3"/>
  <cols>
    <col min="1" max="1" width="4.7109375" style="2" customWidth="1"/>
    <col min="2" max="2" width="12" style="2" customWidth="1"/>
    <col min="3" max="3" width="12" style="2" hidden="1" customWidth="1"/>
    <col min="4" max="4" width="14.140625" style="2" hidden="1" customWidth="1"/>
    <col min="5" max="5" width="15.85546875" style="2" hidden="1" customWidth="1"/>
    <col min="6" max="6" width="16.140625" style="2" hidden="1"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1" width="31"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39" customWidth="1"/>
    <col min="38" max="38" width="16.7109375" style="1" customWidth="1"/>
    <col min="39" max="39" width="14.7109375" style="1" customWidth="1"/>
    <col min="40" max="40" width="27.28515625" style="1" customWidth="1"/>
    <col min="41" max="41" width="21" style="1" customWidth="1"/>
    <col min="42" max="42" width="11.28515625" style="1" customWidth="1"/>
    <col min="43" max="43" width="50" style="1" customWidth="1"/>
    <col min="44" max="44" width="20.7109375" style="1" customWidth="1"/>
    <col min="45" max="45" width="15.42578125" style="1" customWidth="1"/>
    <col min="46" max="46" width="83.7109375" style="1" customWidth="1"/>
    <col min="47" max="47" width="17.28515625" style="1" customWidth="1"/>
    <col min="48" max="16384" width="11.42578125" style="1"/>
  </cols>
  <sheetData>
    <row r="1" spans="1:73" ht="38.450000000000003" customHeight="1" x14ac:dyDescent="0.3">
      <c r="A1" s="212" t="s">
        <v>213</v>
      </c>
      <c r="B1" s="212"/>
      <c r="C1" s="212"/>
      <c r="D1" s="212"/>
      <c r="E1" s="214" t="s">
        <v>214</v>
      </c>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5" t="s">
        <v>215</v>
      </c>
      <c r="AU1" s="215"/>
    </row>
    <row r="2" spans="1:73" ht="33.6" customHeight="1" x14ac:dyDescent="0.3">
      <c r="A2" s="212"/>
      <c r="B2" s="212"/>
      <c r="C2" s="212"/>
      <c r="D2" s="212"/>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5" t="s">
        <v>222</v>
      </c>
      <c r="AU2" s="215"/>
    </row>
    <row r="3" spans="1:73" ht="13.9" customHeight="1" x14ac:dyDescent="0.3">
      <c r="A3" s="212"/>
      <c r="B3" s="212"/>
      <c r="C3" s="212"/>
      <c r="D3" s="212"/>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5" t="s">
        <v>223</v>
      </c>
      <c r="AU3" s="215"/>
    </row>
    <row r="4" spans="1:73" ht="13.9" customHeight="1" x14ac:dyDescent="0.3">
      <c r="A4" s="212"/>
      <c r="B4" s="212"/>
      <c r="C4" s="212"/>
      <c r="D4" s="212"/>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5" t="s">
        <v>216</v>
      </c>
      <c r="AU4" s="215"/>
    </row>
    <row r="5" spans="1:73" ht="26.25" customHeight="1" x14ac:dyDescent="0.3">
      <c r="A5" s="198" t="s">
        <v>42</v>
      </c>
      <c r="B5" s="199"/>
      <c r="C5" s="216" t="s">
        <v>254</v>
      </c>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8"/>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30" customHeight="1" x14ac:dyDescent="0.3">
      <c r="A6" s="198" t="s">
        <v>129</v>
      </c>
      <c r="B6" s="199"/>
      <c r="C6" s="219" t="s">
        <v>255</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8"/>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24" customHeight="1" x14ac:dyDescent="0.3">
      <c r="A7" s="198" t="s">
        <v>43</v>
      </c>
      <c r="B7" s="199"/>
      <c r="C7" s="216" t="s">
        <v>256</v>
      </c>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8"/>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x14ac:dyDescent="0.3">
      <c r="A8" s="200" t="s">
        <v>138</v>
      </c>
      <c r="B8" s="200"/>
      <c r="C8" s="200"/>
      <c r="D8" s="200"/>
      <c r="E8" s="201"/>
      <c r="F8" s="201"/>
      <c r="G8" s="201"/>
      <c r="H8" s="201"/>
      <c r="I8" s="201"/>
      <c r="J8" s="201"/>
      <c r="K8" s="201"/>
      <c r="L8" s="201" t="s">
        <v>139</v>
      </c>
      <c r="M8" s="201"/>
      <c r="N8" s="201"/>
      <c r="O8" s="201"/>
      <c r="P8" s="201"/>
      <c r="Q8" s="201"/>
      <c r="R8" s="201"/>
      <c r="S8" s="201" t="s">
        <v>140</v>
      </c>
      <c r="T8" s="201"/>
      <c r="U8" s="201"/>
      <c r="V8" s="201"/>
      <c r="W8" s="201"/>
      <c r="X8" s="201"/>
      <c r="Y8" s="201"/>
      <c r="Z8" s="201"/>
      <c r="AA8" s="201"/>
      <c r="AB8" s="201"/>
      <c r="AC8" s="201" t="s">
        <v>141</v>
      </c>
      <c r="AD8" s="201"/>
      <c r="AE8" s="201"/>
      <c r="AF8" s="201"/>
      <c r="AG8" s="201"/>
      <c r="AH8" s="201"/>
      <c r="AI8" s="201"/>
      <c r="AJ8" s="195" t="s">
        <v>34</v>
      </c>
      <c r="AK8" s="196"/>
      <c r="AL8" s="196"/>
      <c r="AM8" s="196"/>
      <c r="AN8" s="196"/>
      <c r="AO8" s="196"/>
      <c r="AP8" s="196"/>
      <c r="AQ8" s="196"/>
      <c r="AR8" s="196"/>
      <c r="AS8" s="196"/>
      <c r="AT8" s="196"/>
      <c r="AU8" s="196"/>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6.5" customHeight="1" x14ac:dyDescent="0.3">
      <c r="A9" s="213" t="s">
        <v>0</v>
      </c>
      <c r="B9" s="200" t="s">
        <v>13</v>
      </c>
      <c r="C9" s="200" t="s">
        <v>236</v>
      </c>
      <c r="D9" s="200" t="s">
        <v>2</v>
      </c>
      <c r="E9" s="197" t="s">
        <v>3</v>
      </c>
      <c r="F9" s="197" t="s">
        <v>41</v>
      </c>
      <c r="G9" s="200" t="s">
        <v>1</v>
      </c>
      <c r="H9" s="197" t="s">
        <v>49</v>
      </c>
      <c r="I9" s="197" t="s">
        <v>252</v>
      </c>
      <c r="J9" s="197" t="s">
        <v>253</v>
      </c>
      <c r="K9" s="197" t="s">
        <v>134</v>
      </c>
      <c r="L9" s="197" t="s">
        <v>33</v>
      </c>
      <c r="M9" s="200" t="s">
        <v>5</v>
      </c>
      <c r="N9" s="197" t="s">
        <v>86</v>
      </c>
      <c r="O9" s="197" t="s">
        <v>91</v>
      </c>
      <c r="P9" s="197" t="s">
        <v>44</v>
      </c>
      <c r="Q9" s="200" t="s">
        <v>5</v>
      </c>
      <c r="R9" s="197" t="s">
        <v>47</v>
      </c>
      <c r="S9" s="202" t="s">
        <v>11</v>
      </c>
      <c r="T9" s="197" t="s">
        <v>160</v>
      </c>
      <c r="U9" s="197" t="s">
        <v>212</v>
      </c>
      <c r="V9" s="197" t="s">
        <v>12</v>
      </c>
      <c r="W9" s="197" t="s">
        <v>8</v>
      </c>
      <c r="X9" s="197"/>
      <c r="Y9" s="197"/>
      <c r="Z9" s="197"/>
      <c r="AA9" s="197"/>
      <c r="AB9" s="197"/>
      <c r="AC9" s="202" t="s">
        <v>137</v>
      </c>
      <c r="AD9" s="202" t="s">
        <v>45</v>
      </c>
      <c r="AE9" s="202" t="s">
        <v>5</v>
      </c>
      <c r="AF9" s="202" t="s">
        <v>46</v>
      </c>
      <c r="AG9" s="202" t="s">
        <v>5</v>
      </c>
      <c r="AH9" s="202" t="s">
        <v>48</v>
      </c>
      <c r="AI9" s="202" t="s">
        <v>29</v>
      </c>
      <c r="AJ9" s="197" t="s">
        <v>34</v>
      </c>
      <c r="AK9" s="197" t="s">
        <v>35</v>
      </c>
      <c r="AL9" s="197" t="s">
        <v>36</v>
      </c>
      <c r="AM9" s="197" t="s">
        <v>37</v>
      </c>
      <c r="AN9" s="197" t="s">
        <v>224</v>
      </c>
      <c r="AO9" s="197" t="s">
        <v>38</v>
      </c>
      <c r="AP9" s="197" t="s">
        <v>37</v>
      </c>
      <c r="AQ9" s="197" t="s">
        <v>225</v>
      </c>
      <c r="AR9" s="197" t="s">
        <v>38</v>
      </c>
      <c r="AS9" s="197" t="s">
        <v>37</v>
      </c>
      <c r="AT9" s="197" t="s">
        <v>226</v>
      </c>
      <c r="AU9" s="197" t="s">
        <v>38</v>
      </c>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s="3" customFormat="1" ht="94.5" customHeight="1" x14ac:dyDescent="0.25">
      <c r="A10" s="213"/>
      <c r="B10" s="200"/>
      <c r="C10" s="200"/>
      <c r="D10" s="200"/>
      <c r="E10" s="197"/>
      <c r="F10" s="197"/>
      <c r="G10" s="200"/>
      <c r="H10" s="197"/>
      <c r="I10" s="197"/>
      <c r="J10" s="197"/>
      <c r="K10" s="197"/>
      <c r="L10" s="197"/>
      <c r="M10" s="200"/>
      <c r="N10" s="197"/>
      <c r="O10" s="197"/>
      <c r="P10" s="200"/>
      <c r="Q10" s="200"/>
      <c r="R10" s="197"/>
      <c r="S10" s="202"/>
      <c r="T10" s="197"/>
      <c r="U10" s="197"/>
      <c r="V10" s="197"/>
      <c r="W10" s="135" t="s">
        <v>13</v>
      </c>
      <c r="X10" s="135" t="s">
        <v>17</v>
      </c>
      <c r="Y10" s="135" t="s">
        <v>28</v>
      </c>
      <c r="Z10" s="135" t="s">
        <v>18</v>
      </c>
      <c r="AA10" s="135" t="s">
        <v>21</v>
      </c>
      <c r="AB10" s="135" t="s">
        <v>24</v>
      </c>
      <c r="AC10" s="202"/>
      <c r="AD10" s="202"/>
      <c r="AE10" s="202"/>
      <c r="AF10" s="202"/>
      <c r="AG10" s="202"/>
      <c r="AH10" s="202"/>
      <c r="AI10" s="202"/>
      <c r="AJ10" s="197"/>
      <c r="AK10" s="197"/>
      <c r="AL10" s="197"/>
      <c r="AM10" s="197"/>
      <c r="AN10" s="197"/>
      <c r="AO10" s="197"/>
      <c r="AP10" s="197"/>
      <c r="AQ10" s="197"/>
      <c r="AR10" s="197"/>
      <c r="AS10" s="197"/>
      <c r="AT10" s="197"/>
      <c r="AU10" s="197"/>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s="3" customFormat="1" ht="14.25" customHeight="1" x14ac:dyDescent="0.25">
      <c r="A11" s="135"/>
      <c r="B11" s="138"/>
      <c r="C11" s="138"/>
      <c r="D11" s="138"/>
      <c r="E11" s="136"/>
      <c r="F11" s="136"/>
      <c r="G11" s="138"/>
      <c r="H11" s="136"/>
      <c r="I11" s="136"/>
      <c r="J11" s="136"/>
      <c r="K11" s="136"/>
      <c r="L11" s="136"/>
      <c r="M11" s="138"/>
      <c r="N11" s="136"/>
      <c r="O11" s="136"/>
      <c r="P11" s="138"/>
      <c r="Q11" s="138"/>
      <c r="R11" s="136"/>
      <c r="S11" s="137"/>
      <c r="T11" s="136"/>
      <c r="U11" s="136"/>
      <c r="V11" s="136"/>
      <c r="W11" s="135"/>
      <c r="X11" s="135"/>
      <c r="Y11" s="135"/>
      <c r="Z11" s="135"/>
      <c r="AA11" s="135"/>
      <c r="AB11" s="135"/>
      <c r="AC11" s="137"/>
      <c r="AD11" s="137"/>
      <c r="AE11" s="137"/>
      <c r="AF11" s="137"/>
      <c r="AG11" s="137"/>
      <c r="AH11" s="137"/>
      <c r="AI11" s="137"/>
      <c r="AJ11" s="136"/>
      <c r="AK11" s="136"/>
      <c r="AL11" s="136"/>
      <c r="AM11" s="136"/>
      <c r="AN11" s="136"/>
      <c r="AO11" s="136"/>
      <c r="AP11" s="136"/>
      <c r="AQ11" s="136"/>
      <c r="AR11" s="136"/>
      <c r="AS11" s="136"/>
      <c r="AT11" s="136"/>
      <c r="AU11" s="136"/>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s="153" customFormat="1" ht="260.25" customHeight="1" x14ac:dyDescent="0.25">
      <c r="A12" s="116">
        <v>1</v>
      </c>
      <c r="B12" s="116" t="s">
        <v>231</v>
      </c>
      <c r="C12" s="140" t="s">
        <v>240</v>
      </c>
      <c r="D12" s="117" t="s">
        <v>131</v>
      </c>
      <c r="E12" s="141" t="s">
        <v>258</v>
      </c>
      <c r="F12" s="141" t="s">
        <v>265</v>
      </c>
      <c r="G12" s="141" t="s">
        <v>264</v>
      </c>
      <c r="H12" s="141" t="s">
        <v>259</v>
      </c>
      <c r="I12" s="117" t="s">
        <v>245</v>
      </c>
      <c r="J12" s="117" t="s">
        <v>247</v>
      </c>
      <c r="K12" s="118">
        <v>10</v>
      </c>
      <c r="L12" s="142" t="str">
        <f t="shared" ref="L12:L14" si="0">IF(K12&lt;=0,"",IF(K12&lt;=2,"Muy Baja",IF(K12&lt;=24,"Baja",IF(K12&lt;=500,"Media",IF(K12&lt;=5000,"Alta","Muy Alta")))))</f>
        <v>Baja</v>
      </c>
      <c r="M12" s="143">
        <f t="shared" ref="M12:M14" si="1">IF(L12="","",IF(L12="Muy Baja",0.2,IF(L12="Baja",0.4,IF(L12="Media",0.6,IF(L12="Alta",0.8,IF(L12="Muy Alta",1,))))))</f>
        <v>0.4</v>
      </c>
      <c r="N12" s="144" t="s">
        <v>152</v>
      </c>
      <c r="O12" s="143" t="str">
        <f>IF(NOT(ISERROR(MATCH(N12,'[1]Tabla Impacto'!$B$221:$B$223,0))),'[1]Tabla Impacto'!$F$223&amp;"Por favor no seleccionar los criterios de impacto(Afectación Económica o presupuestal y Pérdida Reputacional)",N12)</f>
        <v xml:space="preserve">     El riesgo afecta la imagen de la entidad con algunos usuarios de relevancia frente al logro de los objetivos</v>
      </c>
      <c r="P12" s="142" t="str">
        <f>IF(OR(O12='[1]Tabla Impacto'!$C$11,O12='[1]Tabla Impacto'!$D$11),"Leve",IF(OR(O12='[1]Tabla Impacto'!$C$12,O12='[1]Tabla Impacto'!$D$12),"Menor",IF(OR(O12='[1]Tabla Impacto'!$C$13,O12='[1]Tabla Impacto'!$D$13),"Moderado",IF(OR(O12='[1]Tabla Impacto'!$C$14,O12='[1]Tabla Impacto'!$D$14),"Mayor",IF(OR(O12='[1]Tabla Impacto'!$C$15,O12='[1]Tabla Impacto'!$D$15),"Catastrófico","")))))</f>
        <v>Moderado</v>
      </c>
      <c r="Q12" s="143">
        <f t="shared" ref="Q12:Q14" si="2">IF(P12="","",IF(P12="Leve",0.2,IF(P12="Menor",0.4,IF(P12="Moderado",0.6,IF(P12="Mayor",0.8,IF(P12="Catastrófico",1,))))))</f>
        <v>0.6</v>
      </c>
      <c r="R12" s="145" t="str">
        <f t="shared" ref="R12:R14" si="3">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16">
        <v>1</v>
      </c>
      <c r="T12" s="141" t="s">
        <v>266</v>
      </c>
      <c r="U12" s="141" t="s">
        <v>267</v>
      </c>
      <c r="V12" s="146" t="str">
        <f t="shared" ref="V12:V14" si="4">IF(OR(W12="Preventivo",W12="Detectivo"),"Probabilidad",IF(W12="Correctivo","Impacto",""))</f>
        <v>Probabilidad</v>
      </c>
      <c r="W12" s="147" t="s">
        <v>14</v>
      </c>
      <c r="X12" s="147" t="s">
        <v>9</v>
      </c>
      <c r="Y12" s="148" t="str">
        <f t="shared" ref="Y12:Y14" si="5">IF(AND(W12="Preventivo",X12="Automático"),"50%",IF(AND(W12="Preventivo",X12="Manual"),"40%",IF(AND(W12="Detectivo",X12="Automático"),"40%",IF(AND(W12="Detectivo",X12="Manual"),"30%",IF(AND(W12="Correctivo",X12="Automático"),"35%",IF(AND(W12="Correctivo",X12="Manual"),"25%",""))))))</f>
        <v>40%</v>
      </c>
      <c r="Z12" s="147" t="s">
        <v>19</v>
      </c>
      <c r="AA12" s="147" t="s">
        <v>22</v>
      </c>
      <c r="AB12" s="147" t="s">
        <v>118</v>
      </c>
      <c r="AC12" s="149">
        <f t="shared" ref="AC12:AC14" si="6">IFERROR(IF(V12="Probabilidad",(M12-(+M12*Y12)),IF(V12="Impacto",M12,"")),"")</f>
        <v>0.24</v>
      </c>
      <c r="AD12" s="150" t="str">
        <f t="shared" ref="AD12:AD14" si="7">IFERROR(IF(AC12="","",IF(AC12&lt;=0.2,"Muy Baja",IF(AC12&lt;=0.4,"Baja",IF(AC12&lt;=0.6,"Media",IF(AC12&lt;=0.8,"Alta","Muy Alta"))))),"")</f>
        <v>Baja</v>
      </c>
      <c r="AE12" s="148">
        <f t="shared" ref="AE12:AE14" si="8">+AC12</f>
        <v>0.24</v>
      </c>
      <c r="AF12" s="150" t="str">
        <f t="shared" ref="AF12:AF14" si="9">IFERROR(IF(AG12="","",IF(AG12&lt;=0.2,"Leve",IF(AG12&lt;=0.4,"Menor",IF(AG12&lt;=0.6,"Moderado",IF(AG12&lt;=0.8,"Mayor","Catastrófico"))))),"")</f>
        <v>Moderado</v>
      </c>
      <c r="AG12" s="148">
        <f t="shared" ref="AG12:AG14" si="10">IFERROR(IF(V12="Impacto",(Q12-(+Q12*Y12)),IF(V12="Probabilidad",Q12,"")),"")</f>
        <v>0.6</v>
      </c>
      <c r="AH12" s="151" t="str">
        <f t="shared" ref="AH12:AH14" si="11">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47" t="s">
        <v>135</v>
      </c>
      <c r="AJ12" s="117" t="s">
        <v>281</v>
      </c>
      <c r="AK12" s="117" t="s">
        <v>268</v>
      </c>
      <c r="AL12" s="119">
        <v>44926</v>
      </c>
      <c r="AM12" s="119">
        <v>44693</v>
      </c>
      <c r="AN12" s="117" t="s">
        <v>278</v>
      </c>
      <c r="AO12" s="118" t="s">
        <v>40</v>
      </c>
      <c r="AP12" s="119">
        <v>44798</v>
      </c>
      <c r="AQ12" s="155" t="s">
        <v>283</v>
      </c>
      <c r="AR12" s="118" t="s">
        <v>40</v>
      </c>
      <c r="AS12" s="119">
        <v>44880</v>
      </c>
      <c r="AT12" s="155" t="s">
        <v>286</v>
      </c>
      <c r="AU12" s="118" t="s">
        <v>39</v>
      </c>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c r="BU12" s="152"/>
    </row>
    <row r="13" spans="1:73" s="153" customFormat="1" ht="330" customHeight="1" x14ac:dyDescent="0.25">
      <c r="A13" s="116">
        <v>2</v>
      </c>
      <c r="B13" s="116" t="s">
        <v>231</v>
      </c>
      <c r="C13" s="140" t="s">
        <v>240</v>
      </c>
      <c r="D13" s="117" t="s">
        <v>133</v>
      </c>
      <c r="E13" s="141" t="s">
        <v>269</v>
      </c>
      <c r="F13" s="141" t="s">
        <v>270</v>
      </c>
      <c r="G13" s="369" t="s">
        <v>282</v>
      </c>
      <c r="H13" s="117" t="s">
        <v>259</v>
      </c>
      <c r="I13" s="117" t="s">
        <v>246</v>
      </c>
      <c r="J13" s="117" t="s">
        <v>249</v>
      </c>
      <c r="K13" s="118">
        <v>10</v>
      </c>
      <c r="L13" s="142" t="str">
        <f t="shared" si="0"/>
        <v>Baja</v>
      </c>
      <c r="M13" s="143">
        <f t="shared" si="1"/>
        <v>0.4</v>
      </c>
      <c r="N13" s="144" t="s">
        <v>152</v>
      </c>
      <c r="O13" s="143" t="str">
        <f>IF(NOT(ISERROR(MATCH(N13,'[1]Tabla Impacto'!$B$221:$B$223,0))),'[1]Tabla Impacto'!$F$223&amp;"Por favor no seleccionar los criterios de impacto(Afectación Económica o presupuestal y Pérdida Reputacional)",N13)</f>
        <v xml:space="preserve">     El riesgo afecta la imagen de la entidad con algunos usuarios de relevancia frente al logro de los objetivos</v>
      </c>
      <c r="P13" s="142" t="str">
        <f>IF(OR(O13='[1]Tabla Impacto'!$C$11,O13='[1]Tabla Impacto'!$D$11),"Leve",IF(OR(O13='[1]Tabla Impacto'!$C$12,O13='[1]Tabla Impacto'!$D$12),"Menor",IF(OR(O13='[1]Tabla Impacto'!$C$13,O13='[1]Tabla Impacto'!$D$13),"Moderado",IF(OR(O13='[1]Tabla Impacto'!$C$14,O13='[1]Tabla Impacto'!$D$14),"Mayor",IF(OR(O13='[1]Tabla Impacto'!$C$15,O13='[1]Tabla Impacto'!$D$15),"Catastrófico","")))))</f>
        <v>Moderado</v>
      </c>
      <c r="Q13" s="143">
        <f t="shared" si="2"/>
        <v>0.6</v>
      </c>
      <c r="R13" s="145" t="str">
        <f t="shared" si="3"/>
        <v>Moderado</v>
      </c>
      <c r="S13" s="116">
        <v>2</v>
      </c>
      <c r="T13" s="141" t="s">
        <v>271</v>
      </c>
      <c r="U13" s="141" t="s">
        <v>272</v>
      </c>
      <c r="V13" s="146" t="str">
        <f t="shared" si="4"/>
        <v>Probabilidad</v>
      </c>
      <c r="W13" s="147" t="s">
        <v>14</v>
      </c>
      <c r="X13" s="147" t="s">
        <v>9</v>
      </c>
      <c r="Y13" s="148" t="str">
        <f t="shared" si="5"/>
        <v>40%</v>
      </c>
      <c r="Z13" s="147" t="s">
        <v>19</v>
      </c>
      <c r="AA13" s="147" t="s">
        <v>22</v>
      </c>
      <c r="AB13" s="147" t="s">
        <v>118</v>
      </c>
      <c r="AC13" s="149">
        <f t="shared" si="6"/>
        <v>0.24</v>
      </c>
      <c r="AD13" s="150" t="str">
        <f t="shared" si="7"/>
        <v>Baja</v>
      </c>
      <c r="AE13" s="148">
        <f t="shared" si="8"/>
        <v>0.24</v>
      </c>
      <c r="AF13" s="150" t="str">
        <f t="shared" si="9"/>
        <v>Moderado</v>
      </c>
      <c r="AG13" s="148">
        <f t="shared" si="10"/>
        <v>0.6</v>
      </c>
      <c r="AH13" s="151" t="str">
        <f t="shared" si="11"/>
        <v>Moderado</v>
      </c>
      <c r="AI13" s="147" t="s">
        <v>135</v>
      </c>
      <c r="AJ13" s="117" t="s">
        <v>273</v>
      </c>
      <c r="AK13" s="117" t="s">
        <v>260</v>
      </c>
      <c r="AL13" s="119">
        <v>44926</v>
      </c>
      <c r="AM13" s="119">
        <v>44693</v>
      </c>
      <c r="AN13" s="117" t="s">
        <v>279</v>
      </c>
      <c r="AO13" s="118" t="s">
        <v>40</v>
      </c>
      <c r="AP13" s="119">
        <v>44798</v>
      </c>
      <c r="AQ13" s="155" t="s">
        <v>284</v>
      </c>
      <c r="AR13" s="118" t="s">
        <v>40</v>
      </c>
      <c r="AS13" s="119">
        <v>44880</v>
      </c>
      <c r="AT13" s="155" t="s">
        <v>287</v>
      </c>
      <c r="AU13" s="118" t="s">
        <v>39</v>
      </c>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row>
    <row r="14" spans="1:73" s="2" customFormat="1" ht="292.5" customHeight="1" x14ac:dyDescent="0.25">
      <c r="A14" s="116">
        <v>3</v>
      </c>
      <c r="B14" s="116" t="s">
        <v>228</v>
      </c>
      <c r="C14" s="140" t="s">
        <v>240</v>
      </c>
      <c r="D14" s="117" t="s">
        <v>131</v>
      </c>
      <c r="E14" s="141" t="s">
        <v>275</v>
      </c>
      <c r="F14" s="141" t="s">
        <v>276</v>
      </c>
      <c r="G14" s="141" t="s">
        <v>274</v>
      </c>
      <c r="H14" s="117" t="s">
        <v>259</v>
      </c>
      <c r="I14" s="117" t="s">
        <v>244</v>
      </c>
      <c r="J14" s="117" t="s">
        <v>250</v>
      </c>
      <c r="K14" s="118">
        <v>10</v>
      </c>
      <c r="L14" s="142" t="str">
        <f t="shared" si="0"/>
        <v>Baja</v>
      </c>
      <c r="M14" s="143">
        <f t="shared" si="1"/>
        <v>0.4</v>
      </c>
      <c r="N14" s="144" t="s">
        <v>152</v>
      </c>
      <c r="O14" s="143" t="str">
        <f>IF(NOT(ISERROR(MATCH(N14,_xlfn.ANCHORARRAY(#REF!),0))),#REF!&amp;"Por favor no seleccionar los criterios de impacto",N14)</f>
        <v xml:space="preserve">     El riesgo afecta la imagen de la entidad con algunos usuarios de relevancia frente al logro de los objetivos</v>
      </c>
      <c r="P14" s="142" t="str">
        <f>IF(OR(O14='[1]Tabla Impacto'!$C$11,O14='[1]Tabla Impacto'!$D$11),"Leve",IF(OR(O14='[1]Tabla Impacto'!$C$12,O14='[1]Tabla Impacto'!$D$12),"Menor",IF(OR(O14='[1]Tabla Impacto'!$C$13,O14='[1]Tabla Impacto'!$D$13),"Moderado",IF(OR(O14='[1]Tabla Impacto'!$C$14,O14='[1]Tabla Impacto'!$D$14),"Mayor",IF(OR(O14='[1]Tabla Impacto'!$C$15,O14='[1]Tabla Impacto'!$D$15),"Catastrófico","")))))</f>
        <v>Moderado</v>
      </c>
      <c r="Q14" s="143">
        <f t="shared" si="2"/>
        <v>0.6</v>
      </c>
      <c r="R14" s="145" t="str">
        <f t="shared" si="3"/>
        <v>Moderado</v>
      </c>
      <c r="S14" s="116">
        <v>3</v>
      </c>
      <c r="T14" s="141" t="s">
        <v>277</v>
      </c>
      <c r="U14" s="141" t="s">
        <v>261</v>
      </c>
      <c r="V14" s="146" t="str">
        <f t="shared" si="4"/>
        <v>Probabilidad</v>
      </c>
      <c r="W14" s="147" t="s">
        <v>14</v>
      </c>
      <c r="X14" s="147" t="s">
        <v>9</v>
      </c>
      <c r="Y14" s="148" t="str">
        <f t="shared" si="5"/>
        <v>40%</v>
      </c>
      <c r="Z14" s="147" t="s">
        <v>19</v>
      </c>
      <c r="AA14" s="147" t="s">
        <v>22</v>
      </c>
      <c r="AB14" s="147" t="s">
        <v>118</v>
      </c>
      <c r="AC14" s="149">
        <f t="shared" si="6"/>
        <v>0.24</v>
      </c>
      <c r="AD14" s="150" t="str">
        <f t="shared" si="7"/>
        <v>Baja</v>
      </c>
      <c r="AE14" s="148">
        <f t="shared" si="8"/>
        <v>0.24</v>
      </c>
      <c r="AF14" s="150" t="str">
        <f t="shared" si="9"/>
        <v>Moderado</v>
      </c>
      <c r="AG14" s="148">
        <f t="shared" si="10"/>
        <v>0.6</v>
      </c>
      <c r="AH14" s="151" t="str">
        <f t="shared" si="11"/>
        <v>Moderado</v>
      </c>
      <c r="AI14" s="147" t="s">
        <v>32</v>
      </c>
      <c r="AJ14" s="117" t="s">
        <v>262</v>
      </c>
      <c r="AK14" s="117" t="s">
        <v>263</v>
      </c>
      <c r="AL14" s="119">
        <v>44926</v>
      </c>
      <c r="AM14" s="119">
        <v>44693</v>
      </c>
      <c r="AN14" s="117" t="s">
        <v>280</v>
      </c>
      <c r="AO14" s="118" t="s">
        <v>40</v>
      </c>
      <c r="AP14" s="119">
        <v>44798</v>
      </c>
      <c r="AQ14" s="155" t="s">
        <v>285</v>
      </c>
      <c r="AR14" s="118" t="s">
        <v>40</v>
      </c>
      <c r="AS14" s="119">
        <v>44880</v>
      </c>
      <c r="AT14" s="155" t="s">
        <v>288</v>
      </c>
      <c r="AU14" s="118" t="s">
        <v>39</v>
      </c>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row>
    <row r="15" spans="1:73" ht="49.5" customHeight="1" x14ac:dyDescent="0.3">
      <c r="A15" s="115"/>
      <c r="B15" s="134"/>
      <c r="C15" s="134"/>
      <c r="D15" s="208" t="s">
        <v>130</v>
      </c>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10"/>
    </row>
    <row r="17" spans="1:43" x14ac:dyDescent="0.3">
      <c r="A17" s="120"/>
      <c r="B17" s="121"/>
      <c r="C17" s="121"/>
      <c r="D17" s="121"/>
      <c r="E17" s="121"/>
      <c r="F17" s="121"/>
      <c r="G17" s="121"/>
      <c r="H17" s="1"/>
      <c r="I17" s="1"/>
      <c r="J17" s="1"/>
      <c r="L17" s="124"/>
      <c r="M17" s="121"/>
      <c r="N17" s="121"/>
      <c r="O17" s="121"/>
      <c r="P17" s="121"/>
      <c r="Q17" s="121"/>
      <c r="R17" s="121"/>
      <c r="S17" s="121"/>
      <c r="T17" s="121"/>
      <c r="U17" s="121"/>
      <c r="V17" s="125"/>
      <c r="W17" s="125"/>
      <c r="X17" s="121"/>
      <c r="Y17" s="121"/>
      <c r="Z17" s="121"/>
      <c r="AA17" s="121"/>
      <c r="AB17" s="121"/>
      <c r="AC17" s="121"/>
      <c r="AD17" s="121"/>
      <c r="AE17" s="121"/>
      <c r="AF17" s="121"/>
      <c r="AG17" s="121"/>
      <c r="AH17" s="121"/>
      <c r="AI17" s="126"/>
      <c r="AJ17" s="126"/>
      <c r="AK17" s="121"/>
      <c r="AL17" s="121"/>
      <c r="AM17" s="121"/>
      <c r="AN17" s="121"/>
      <c r="AO17" s="121"/>
      <c r="AP17" s="121"/>
      <c r="AQ17" s="121"/>
    </row>
    <row r="18" spans="1:43" ht="18" x14ac:dyDescent="0.3">
      <c r="A18" s="211" t="s">
        <v>257</v>
      </c>
      <c r="B18" s="211"/>
      <c r="C18" s="211"/>
      <c r="D18" s="211"/>
      <c r="E18" s="211"/>
      <c r="F18" s="211"/>
      <c r="G18" s="211"/>
      <c r="H18" s="1"/>
      <c r="I18" s="1"/>
      <c r="J18" s="1"/>
      <c r="K18" s="205" t="s">
        <v>289</v>
      </c>
      <c r="L18" s="206"/>
      <c r="M18" s="206"/>
      <c r="N18" s="207"/>
      <c r="O18" s="121"/>
      <c r="P18" s="121"/>
      <c r="Q18" s="121"/>
      <c r="R18" s="121"/>
      <c r="S18" s="121"/>
      <c r="T18" s="121"/>
      <c r="U18" s="126"/>
      <c r="V18" s="125"/>
      <c r="W18" s="125"/>
      <c r="X18" s="121"/>
      <c r="Y18" s="125"/>
      <c r="Z18" s="125"/>
      <c r="AA18" s="121"/>
      <c r="AB18" s="121"/>
      <c r="AC18" s="121"/>
      <c r="AD18" s="121"/>
      <c r="AE18" s="121"/>
      <c r="AF18" s="121"/>
      <c r="AG18" s="121"/>
      <c r="AH18" s="121"/>
      <c r="AI18" s="121"/>
      <c r="AJ18" s="121"/>
      <c r="AK18" s="121"/>
      <c r="AL18" s="121"/>
      <c r="AM18" s="121"/>
      <c r="AN18" s="121"/>
      <c r="AO18" s="121"/>
      <c r="AP18" s="121"/>
      <c r="AQ18" s="121"/>
    </row>
    <row r="19" spans="1:43" ht="17.25" thickBot="1" x14ac:dyDescent="0.35">
      <c r="A19"/>
      <c r="B19"/>
      <c r="C19"/>
      <c r="D19"/>
      <c r="E19"/>
      <c r="F19"/>
      <c r="G19"/>
      <c r="H19" s="1"/>
      <c r="I19" s="1"/>
      <c r="J19" s="1"/>
      <c r="L19" s="122" t="str">
        <f>+IFERROR(VLOOKUP(H19,$H$174:$L$178,3,FALSE)*VLOOKUP(K19,$K$174:$L$178,3,FALSE),"")</f>
        <v/>
      </c>
      <c r="M19"/>
      <c r="N19"/>
      <c r="O19"/>
      <c r="P19"/>
      <c r="Q19"/>
      <c r="R19"/>
      <c r="S19"/>
      <c r="T19"/>
      <c r="U19"/>
      <c r="V19" s="122"/>
      <c r="W19" s="123"/>
      <c r="X19"/>
      <c r="Y19" s="123"/>
      <c r="Z19" s="123"/>
      <c r="AA19" s="129"/>
      <c r="AB19" s="129"/>
      <c r="AC19" s="129"/>
      <c r="AD19" s="129"/>
      <c r="AE19" s="127"/>
      <c r="AF19" s="127"/>
      <c r="AG19" s="129"/>
      <c r="AH19" s="130"/>
      <c r="AI19"/>
      <c r="AJ19"/>
      <c r="AK19" s="129"/>
      <c r="AL19" s="129"/>
      <c r="AM19"/>
      <c r="AN19" s="129"/>
      <c r="AO19"/>
      <c r="AP19" s="129"/>
      <c r="AQ19"/>
    </row>
    <row r="20" spans="1:43" ht="17.45" customHeight="1" thickTop="1" thickBot="1" x14ac:dyDescent="0.35">
      <c r="A20" s="203" t="s">
        <v>217</v>
      </c>
      <c r="B20" s="203"/>
      <c r="C20" s="203"/>
      <c r="D20" s="203"/>
      <c r="E20" s="203"/>
      <c r="F20" s="203"/>
      <c r="G20" s="132" t="s">
        <v>218</v>
      </c>
      <c r="H20" s="203" t="s">
        <v>219</v>
      </c>
      <c r="I20" s="203"/>
      <c r="J20" s="203"/>
      <c r="K20" s="203"/>
      <c r="L20" s="203"/>
      <c r="M20" s="203"/>
      <c r="N20" s="203"/>
      <c r="O20" s="133"/>
      <c r="P20" s="204" t="s">
        <v>220</v>
      </c>
      <c r="Q20" s="204"/>
      <c r="R20" s="204"/>
      <c r="S20" s="203" t="s">
        <v>221</v>
      </c>
      <c r="T20" s="203"/>
      <c r="U20" s="203"/>
      <c r="V20" s="203"/>
      <c r="W20" s="204">
        <v>1</v>
      </c>
      <c r="X20" s="204"/>
      <c r="Y20" s="204"/>
      <c r="Z20" s="204"/>
      <c r="AA20" s="131"/>
      <c r="AB20" s="131"/>
      <c r="AC20" s="131"/>
      <c r="AD20" s="131"/>
      <c r="AE20" s="131"/>
      <c r="AF20" s="131"/>
      <c r="AG20" s="131"/>
      <c r="AH20" s="131"/>
      <c r="AI20" s="131"/>
      <c r="AJ20" s="131"/>
      <c r="AK20" s="131"/>
      <c r="AL20" s="131"/>
      <c r="AM20" s="131"/>
      <c r="AN20" s="131"/>
      <c r="AO20" s="131"/>
      <c r="AP20" s="131"/>
      <c r="AQ20" s="128"/>
    </row>
    <row r="21" spans="1:43" ht="17.25" thickTop="1" x14ac:dyDescent="0.3"/>
  </sheetData>
  <dataConsolidate/>
  <mergeCells count="67">
    <mergeCell ref="AT1:AU1"/>
    <mergeCell ref="AT2:AU2"/>
    <mergeCell ref="AT3:AU3"/>
    <mergeCell ref="AT4:AU4"/>
    <mergeCell ref="AJ9:AJ10"/>
    <mergeCell ref="C7:AU7"/>
    <mergeCell ref="C6:AU6"/>
    <mergeCell ref="C5:AU5"/>
    <mergeCell ref="I9:I10"/>
    <mergeCell ref="J9:J10"/>
    <mergeCell ref="AI9:AI10"/>
    <mergeCell ref="AH9:AH10"/>
    <mergeCell ref="AG9:AG10"/>
    <mergeCell ref="AC9:AC10"/>
    <mergeCell ref="U9:U10"/>
    <mergeCell ref="AU9:AU10"/>
    <mergeCell ref="A1:D4"/>
    <mergeCell ref="AF9:AF10"/>
    <mergeCell ref="AD9:AD10"/>
    <mergeCell ref="AE9:AE10"/>
    <mergeCell ref="K9:K10"/>
    <mergeCell ref="L9:L10"/>
    <mergeCell ref="M9:M10"/>
    <mergeCell ref="P9:P10"/>
    <mergeCell ref="Q9:Q10"/>
    <mergeCell ref="W9:AB9"/>
    <mergeCell ref="AC8:AI8"/>
    <mergeCell ref="A9:A10"/>
    <mergeCell ref="H9:H10"/>
    <mergeCell ref="E1:AS4"/>
    <mergeCell ref="AP9:AP10"/>
    <mergeCell ref="AQ9:AQ10"/>
    <mergeCell ref="D15:AO15"/>
    <mergeCell ref="A18:G18"/>
    <mergeCell ref="G9:G10"/>
    <mergeCell ref="F9:F10"/>
    <mergeCell ref="E9:E10"/>
    <mergeCell ref="D9:D10"/>
    <mergeCell ref="R9:R10"/>
    <mergeCell ref="N9:N10"/>
    <mergeCell ref="O9:O10"/>
    <mergeCell ref="AO9:AO10"/>
    <mergeCell ref="AN9:AN10"/>
    <mergeCell ref="AM9:AM10"/>
    <mergeCell ref="AL9:AL10"/>
    <mergeCell ref="AK9:AK10"/>
    <mergeCell ref="C9:C10"/>
    <mergeCell ref="S20:V20"/>
    <mergeCell ref="W20:Z20"/>
    <mergeCell ref="A20:F20"/>
    <mergeCell ref="K18:N18"/>
    <mergeCell ref="H20:N20"/>
    <mergeCell ref="P20:R20"/>
    <mergeCell ref="AJ8:AU8"/>
    <mergeCell ref="AR9:AR10"/>
    <mergeCell ref="AS9:AS10"/>
    <mergeCell ref="AT9:AT10"/>
    <mergeCell ref="A5:B5"/>
    <mergeCell ref="A6:B6"/>
    <mergeCell ref="A7:B7"/>
    <mergeCell ref="A8:K8"/>
    <mergeCell ref="L8:R8"/>
    <mergeCell ref="S8:AB8"/>
    <mergeCell ref="S9:S10"/>
    <mergeCell ref="T9:T10"/>
    <mergeCell ref="B9:B10"/>
    <mergeCell ref="V9:V10"/>
  </mergeCells>
  <conditionalFormatting sqref="AE17:AE19">
    <cfRule type="cellIs" dxfId="47" priority="96" stopIfTrue="1" operator="equal">
      <formula>#REF!</formula>
    </cfRule>
    <cfRule type="cellIs" dxfId="46" priority="97" operator="equal">
      <formula>#REF!</formula>
    </cfRule>
    <cfRule type="cellIs" dxfId="45" priority="98" operator="equal">
      <formula>#REF!</formula>
    </cfRule>
  </conditionalFormatting>
  <conditionalFormatting sqref="AF17:AF19">
    <cfRule type="cellIs" dxfId="44" priority="99" stopIfTrue="1" operator="equal">
      <formula>#REF!</formula>
    </cfRule>
    <cfRule type="cellIs" dxfId="43" priority="100" stopIfTrue="1" operator="equal">
      <formula>#REF!</formula>
    </cfRule>
    <cfRule type="cellIs" dxfId="42" priority="101" stopIfTrue="1" operator="equal">
      <formula>#REF!</formula>
    </cfRule>
  </conditionalFormatting>
  <conditionalFormatting sqref="L12:L13 AD12:AD13">
    <cfRule type="cellIs" dxfId="41" priority="91" operator="equal">
      <formula>"Muy Alta"</formula>
    </cfRule>
    <cfRule type="cellIs" dxfId="40" priority="92" operator="equal">
      <formula>"Alta"</formula>
    </cfRule>
    <cfRule type="cellIs" dxfId="39" priority="93" operator="equal">
      <formula>"Media"</formula>
    </cfRule>
    <cfRule type="cellIs" dxfId="38" priority="94" operator="equal">
      <formula>"Baja"</formula>
    </cfRule>
    <cfRule type="cellIs" dxfId="37" priority="95" operator="equal">
      <formula>"Muy Baja"</formula>
    </cfRule>
  </conditionalFormatting>
  <conditionalFormatting sqref="P12:P13 AF12:AF13">
    <cfRule type="cellIs" dxfId="36" priority="86" operator="equal">
      <formula>"Catastrófico"</formula>
    </cfRule>
    <cfRule type="cellIs" dxfId="35" priority="87" operator="equal">
      <formula>"Mayor"</formula>
    </cfRule>
    <cfRule type="cellIs" dxfId="34" priority="88" operator="equal">
      <formula>"Moderado"</formula>
    </cfRule>
    <cfRule type="cellIs" dxfId="33" priority="89" operator="equal">
      <formula>"Menor"</formula>
    </cfRule>
    <cfRule type="cellIs" dxfId="32" priority="90" operator="equal">
      <formula>"Leve"</formula>
    </cfRule>
  </conditionalFormatting>
  <conditionalFormatting sqref="R12 AH12:AH13">
    <cfRule type="cellIs" dxfId="31" priority="82" operator="equal">
      <formula>"Extremo"</formula>
    </cfRule>
    <cfRule type="cellIs" dxfId="30" priority="83" operator="equal">
      <formula>"Alto"</formula>
    </cfRule>
    <cfRule type="cellIs" dxfId="29" priority="84" operator="equal">
      <formula>"Moderado"</formula>
    </cfRule>
    <cfRule type="cellIs" dxfId="28" priority="85" operator="equal">
      <formula>"Bajo"</formula>
    </cfRule>
  </conditionalFormatting>
  <conditionalFormatting sqref="R13">
    <cfRule type="cellIs" dxfId="27" priority="78" operator="equal">
      <formula>"Extremo"</formula>
    </cfRule>
    <cfRule type="cellIs" dxfId="26" priority="79" operator="equal">
      <formula>"Alto"</formula>
    </cfRule>
    <cfRule type="cellIs" dxfId="25" priority="80" operator="equal">
      <formula>"Moderado"</formula>
    </cfRule>
    <cfRule type="cellIs" dxfId="24" priority="81" operator="equal">
      <formula>"Bajo"</formula>
    </cfRule>
  </conditionalFormatting>
  <conditionalFormatting sqref="O12:O13">
    <cfRule type="containsText" dxfId="23" priority="77" operator="containsText" text="❌">
      <formula>NOT(ISERROR(SEARCH("❌",O12)))</formula>
    </cfRule>
  </conditionalFormatting>
  <conditionalFormatting sqref="L14 AD14">
    <cfRule type="cellIs" dxfId="22" priority="72" operator="equal">
      <formula>"Muy Alta"</formula>
    </cfRule>
    <cfRule type="cellIs" dxfId="21" priority="73" operator="equal">
      <formula>"Alta"</formula>
    </cfRule>
    <cfRule type="cellIs" dxfId="20" priority="74" operator="equal">
      <formula>"Media"</formula>
    </cfRule>
    <cfRule type="cellIs" dxfId="19" priority="75" operator="equal">
      <formula>"Baja"</formula>
    </cfRule>
    <cfRule type="cellIs" dxfId="18" priority="76" operator="equal">
      <formula>"Muy Baja"</formula>
    </cfRule>
  </conditionalFormatting>
  <conditionalFormatting sqref="P14 AF14">
    <cfRule type="cellIs" dxfId="17" priority="67" operator="equal">
      <formula>"Catastrófico"</formula>
    </cfRule>
    <cfRule type="cellIs" dxfId="16" priority="68" operator="equal">
      <formula>"Mayor"</formula>
    </cfRule>
    <cfRule type="cellIs" dxfId="15" priority="69" operator="equal">
      <formula>"Moderado"</formula>
    </cfRule>
    <cfRule type="cellIs" dxfId="14" priority="70" operator="equal">
      <formula>"Menor"</formula>
    </cfRule>
    <cfRule type="cellIs" dxfId="13" priority="71" operator="equal">
      <formula>"Leve"</formula>
    </cfRule>
  </conditionalFormatting>
  <conditionalFormatting sqref="AH14">
    <cfRule type="cellIs" dxfId="12" priority="63" operator="equal">
      <formula>"Extremo"</formula>
    </cfRule>
    <cfRule type="cellIs" dxfId="11" priority="64" operator="equal">
      <formula>"Alto"</formula>
    </cfRule>
    <cfRule type="cellIs" dxfId="10" priority="65" operator="equal">
      <formula>"Moderado"</formula>
    </cfRule>
    <cfRule type="cellIs" dxfId="9" priority="66" operator="equal">
      <formula>"Bajo"</formula>
    </cfRule>
  </conditionalFormatting>
  <conditionalFormatting sqref="R14">
    <cfRule type="cellIs" dxfId="8" priority="59" operator="equal">
      <formula>"Extremo"</formula>
    </cfRule>
    <cfRule type="cellIs" dxfId="7" priority="60" operator="equal">
      <formula>"Alto"</formula>
    </cfRule>
    <cfRule type="cellIs" dxfId="6" priority="61" operator="equal">
      <formula>"Moderado"</formula>
    </cfRule>
    <cfRule type="cellIs" dxfId="5" priority="62" operator="equal">
      <formula>"Bajo"</formula>
    </cfRule>
  </conditionalFormatting>
  <conditionalFormatting sqref="O14">
    <cfRule type="containsText" dxfId="4" priority="58" operator="containsText" text="❌">
      <formula>NOT(ISERROR(SEARCH("❌",O14)))</formula>
    </cfRule>
  </conditionalFormatting>
  <dataValidations count="7">
    <dataValidation type="list" allowBlank="1" showInputMessage="1" showErrorMessage="1" sqref="G17" xr:uid="{00000000-0002-0000-0100-000000000000}">
      <formula1>$G$174:$G$183</formula1>
    </dataValidation>
    <dataValidation type="list" allowBlank="1" showInputMessage="1" showErrorMessage="1" sqref="G19 AE19:AF19" xr:uid="{00000000-0002-0000-0100-000001000000}">
      <formula1>#REF!</formula1>
    </dataValidation>
    <dataValidation type="list" allowBlank="1" showInputMessage="1" showErrorMessage="1" sqref="V19" xr:uid="{00000000-0002-0000-0100-000002000000}">
      <formula1>$N$174:$N$175</formula1>
    </dataValidation>
    <dataValidation type="list" allowBlank="1" showInputMessage="1" showErrorMessage="1" sqref="K19" xr:uid="{00000000-0002-0000-0100-000003000000}">
      <formula1>$K$174:$K$178</formula1>
    </dataValidation>
    <dataValidation type="list" allowBlank="1" showInputMessage="1" showErrorMessage="1" sqref="H19:J19" xr:uid="{00000000-0002-0000-0100-000004000000}">
      <formula1>$H$174:$H$178</formula1>
    </dataValidation>
    <dataValidation type="list" allowBlank="1" showInputMessage="1" showErrorMessage="1" sqref="AP19 AN19 AL19 W19 Y19:AD19" xr:uid="{00000000-0002-0000-0100-000005000000}">
      <formula1>$AL$174:$AL$181</formula1>
    </dataValidation>
    <dataValidation allowBlank="1" showInputMessage="1" showErrorMessage="1" error="Recuerde que las acciones se generan bajo la medida de mitigar el riesgo" sqref="AN14" xr:uid="{00000000-0002-0000-0100-000006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7000000}">
          <x14:formula1>
            <xm:f>'Opciones Tratamiento'!$B$9:$B$10</xm:f>
          </x14:formula1>
          <xm:sqref>AO12:AO14 AR12:AR14 AU12:AU14</xm:sqref>
        </x14:dataValidation>
        <x14:dataValidation type="list" allowBlank="1" showInputMessage="1" showErrorMessage="1" xr:uid="{00000000-0002-0000-0100-000008000000}">
          <x14:formula1>
            <xm:f>Listas!$A$2:$A$9</xm:f>
          </x14:formula1>
          <xm:sqref>B12:B14</xm:sqref>
        </x14:dataValidation>
        <x14:dataValidation type="list" allowBlank="1" showInputMessage="1" showErrorMessage="1" xr:uid="{00000000-0002-0000-0100-000009000000}">
          <x14:formula1>
            <xm:f>Listas!$B$2:$B$7</xm:f>
          </x14:formula1>
          <xm:sqref>C12:C14</xm:sqref>
        </x14:dataValidation>
        <x14:dataValidation type="list" allowBlank="1" showInputMessage="1" showErrorMessage="1" xr:uid="{00000000-0002-0000-0100-00000A000000}">
          <x14:formula1>
            <xm:f>Listas!$C$2:$C$6</xm:f>
          </x14:formula1>
          <xm:sqref>I12:I14</xm:sqref>
        </x14:dataValidation>
        <x14:dataValidation type="list" allowBlank="1" showInputMessage="1" showErrorMessage="1" xr:uid="{00000000-0002-0000-0100-00000B000000}">
          <x14:formula1>
            <xm:f>Listas!$D$2:$D$5</xm:f>
          </x14:formula1>
          <xm:sqref>J12:J14</xm:sqref>
        </x14:dataValidation>
        <x14:dataValidation type="custom" allowBlank="1" showInputMessage="1" showErrorMessage="1" error="Recuerde que las acciones se generan bajo la medida de mitigar el riesgo" xr:uid="{00000000-0002-0000-0100-00000C000000}">
          <x14:formula1>
            <xm:f>IF(OR(AI12='Opciones Tratamiento'!$B$2,AI12='Opciones Tratamiento'!$B$3,AI12='Opciones Tratamiento'!$B$4),ISBLANK(AI12),ISTEXT(AI12))</xm:f>
          </x14:formula1>
          <xm:sqref>AM12:AM14 AS12:AS14</xm:sqref>
        </x14:dataValidation>
        <x14:dataValidation type="custom" allowBlank="1" showInputMessage="1" showErrorMessage="1" error="Recuerde que las acciones se generan bajo la medida de mitigar el riesgo" xr:uid="{00000000-0002-0000-0100-00000D000000}">
          <x14:formula1>
            <xm:f>IF(OR(AI12='Opciones Tratamiento'!$B$2,AI12='Opciones Tratamiento'!$B$3,AI12='Opciones Tratamiento'!$B$4),ISBLANK(AI12),ISTEXT(AI12))</xm:f>
          </x14:formula1>
          <xm:sqref>AN12:AN13 AT12:AT14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05" t="s">
        <v>158</v>
      </c>
      <c r="C2" s="305"/>
      <c r="D2" s="305"/>
      <c r="E2" s="305"/>
      <c r="F2" s="305"/>
      <c r="G2" s="305"/>
      <c r="H2" s="305"/>
      <c r="I2" s="305"/>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05"/>
      <c r="C3" s="305"/>
      <c r="D3" s="305"/>
      <c r="E3" s="305"/>
      <c r="F3" s="305"/>
      <c r="G3" s="305"/>
      <c r="H3" s="305"/>
      <c r="I3" s="305"/>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05"/>
      <c r="C4" s="305"/>
      <c r="D4" s="305"/>
      <c r="E4" s="305"/>
      <c r="F4" s="305"/>
      <c r="G4" s="305"/>
      <c r="H4" s="305"/>
      <c r="I4" s="305"/>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20" t="s">
        <v>4</v>
      </c>
      <c r="C6" s="220"/>
      <c r="D6" s="221"/>
      <c r="E6" s="258" t="s">
        <v>115</v>
      </c>
      <c r="F6" s="259"/>
      <c r="G6" s="259"/>
      <c r="H6" s="259"/>
      <c r="I6" s="260"/>
      <c r="J6" s="269" t="e">
        <f>IF(AND('Mapa final'!#REF!="Muy Alta",'Mapa final'!#REF!="Leve"),CONCATENATE("R",'Mapa final'!#REF!),"")</f>
        <v>#REF!</v>
      </c>
      <c r="K6" s="270"/>
      <c r="L6" s="270" t="str">
        <f>IF(AND('Mapa final'!$L$12="Muy Alta",'Mapa final'!$P$12="Leve"),CONCATENATE("R",'Mapa final'!$A$12),"")</f>
        <v/>
      </c>
      <c r="M6" s="270"/>
      <c r="N6" s="270" t="e">
        <f>IF(AND('Mapa final'!#REF!="Muy Alta",'Mapa final'!#REF!="Leve"),CONCATENATE("R",'Mapa final'!#REF!),"")</f>
        <v>#REF!</v>
      </c>
      <c r="O6" s="272"/>
      <c r="P6" s="269" t="e">
        <f>IF(AND('Mapa final'!#REF!="Muy Alta",'Mapa final'!#REF!="Menor"),CONCATENATE("R",'Mapa final'!#REF!),"")</f>
        <v>#REF!</v>
      </c>
      <c r="Q6" s="270"/>
      <c r="R6" s="270" t="str">
        <f>IF(AND('Mapa final'!$L$12="Muy Alta",'Mapa final'!$P$12="Menor"),CONCATENATE("R",'Mapa final'!$A$12),"")</f>
        <v/>
      </c>
      <c r="S6" s="270"/>
      <c r="T6" s="270" t="e">
        <f>IF(AND('Mapa final'!#REF!="Muy Alta",'Mapa final'!#REF!="Menor"),CONCATENATE("R",'Mapa final'!#REF!),"")</f>
        <v>#REF!</v>
      </c>
      <c r="U6" s="272"/>
      <c r="V6" s="269" t="e">
        <f>IF(AND('Mapa final'!#REF!="Muy Alta",'Mapa final'!#REF!="Moderado"),CONCATENATE("R",'Mapa final'!#REF!),"")</f>
        <v>#REF!</v>
      </c>
      <c r="W6" s="270"/>
      <c r="X6" s="270" t="str">
        <f>IF(AND('Mapa final'!$L$12="Muy Alta",'Mapa final'!$P$12="Moderado"),CONCATENATE("R",'Mapa final'!$A$12),"")</f>
        <v/>
      </c>
      <c r="Y6" s="270"/>
      <c r="Z6" s="270" t="e">
        <f>IF(AND('Mapa final'!#REF!="Muy Alta",'Mapa final'!#REF!="Moderado"),CONCATENATE("R",'Mapa final'!#REF!),"")</f>
        <v>#REF!</v>
      </c>
      <c r="AA6" s="272"/>
      <c r="AB6" s="269" t="e">
        <f>IF(AND('Mapa final'!#REF!="Muy Alta",'Mapa final'!#REF!="Mayor"),CONCATENATE("R",'Mapa final'!#REF!),"")</f>
        <v>#REF!</v>
      </c>
      <c r="AC6" s="270"/>
      <c r="AD6" s="270" t="str">
        <f>IF(AND('Mapa final'!$L$12="Muy Alta",'Mapa final'!$P$12="Mayor"),CONCATENATE("R",'Mapa final'!$A$12),"")</f>
        <v/>
      </c>
      <c r="AE6" s="270"/>
      <c r="AF6" s="270" t="e">
        <f>IF(AND('Mapa final'!#REF!="Muy Alta",'Mapa final'!#REF!="Mayor"),CONCATENATE("R",'Mapa final'!#REF!),"")</f>
        <v>#REF!</v>
      </c>
      <c r="AG6" s="272"/>
      <c r="AH6" s="284" t="e">
        <f>IF(AND('Mapa final'!#REF!="Muy Alta",'Mapa final'!#REF!="Catastrófico"),CONCATENATE("R",'Mapa final'!#REF!),"")</f>
        <v>#REF!</v>
      </c>
      <c r="AI6" s="285"/>
      <c r="AJ6" s="285" t="str">
        <f>IF(AND('Mapa final'!$L$12="Muy Alta",'Mapa final'!$P$12="Catastrófico"),CONCATENATE("R",'Mapa final'!$A$12),"")</f>
        <v/>
      </c>
      <c r="AK6" s="285"/>
      <c r="AL6" s="285" t="e">
        <f>IF(AND('Mapa final'!#REF!="Muy Alta",'Mapa final'!#REF!="Catastrófico"),CONCATENATE("R",'Mapa final'!#REF!),"")</f>
        <v>#REF!</v>
      </c>
      <c r="AM6" s="286"/>
      <c r="AO6" s="222" t="s">
        <v>78</v>
      </c>
      <c r="AP6" s="223"/>
      <c r="AQ6" s="223"/>
      <c r="AR6" s="223"/>
      <c r="AS6" s="223"/>
      <c r="AT6" s="224"/>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20"/>
      <c r="C7" s="220"/>
      <c r="D7" s="221"/>
      <c r="E7" s="261"/>
      <c r="F7" s="262"/>
      <c r="G7" s="262"/>
      <c r="H7" s="262"/>
      <c r="I7" s="263"/>
      <c r="J7" s="271"/>
      <c r="K7" s="267"/>
      <c r="L7" s="267"/>
      <c r="M7" s="267"/>
      <c r="N7" s="267"/>
      <c r="O7" s="268"/>
      <c r="P7" s="271"/>
      <c r="Q7" s="267"/>
      <c r="R7" s="267"/>
      <c r="S7" s="267"/>
      <c r="T7" s="267"/>
      <c r="U7" s="268"/>
      <c r="V7" s="271"/>
      <c r="W7" s="267"/>
      <c r="X7" s="267"/>
      <c r="Y7" s="267"/>
      <c r="Z7" s="267"/>
      <c r="AA7" s="268"/>
      <c r="AB7" s="271"/>
      <c r="AC7" s="267"/>
      <c r="AD7" s="267"/>
      <c r="AE7" s="267"/>
      <c r="AF7" s="267"/>
      <c r="AG7" s="268"/>
      <c r="AH7" s="278"/>
      <c r="AI7" s="279"/>
      <c r="AJ7" s="279"/>
      <c r="AK7" s="279"/>
      <c r="AL7" s="279"/>
      <c r="AM7" s="280"/>
      <c r="AN7" s="75"/>
      <c r="AO7" s="225"/>
      <c r="AP7" s="226"/>
      <c r="AQ7" s="226"/>
      <c r="AR7" s="226"/>
      <c r="AS7" s="226"/>
      <c r="AT7" s="227"/>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20"/>
      <c r="C8" s="220"/>
      <c r="D8" s="221"/>
      <c r="E8" s="261"/>
      <c r="F8" s="262"/>
      <c r="G8" s="262"/>
      <c r="H8" s="262"/>
      <c r="I8" s="263"/>
      <c r="J8" s="271" t="e">
        <f>IF(AND('Mapa final'!#REF!="Muy Alta",'Mapa final'!#REF!="Leve"),CONCATENATE("R",'Mapa final'!#REF!),"")</f>
        <v>#REF!</v>
      </c>
      <c r="K8" s="267"/>
      <c r="L8" s="267" t="e">
        <f>IF(AND('Mapa final'!#REF!="Muy Alta",'Mapa final'!#REF!="Leve"),CONCATENATE("R",'Mapa final'!#REF!),"")</f>
        <v>#REF!</v>
      </c>
      <c r="M8" s="267"/>
      <c r="N8" s="267" t="e">
        <f>IF(AND('Mapa final'!#REF!="Muy Alta",'Mapa final'!#REF!="Leve"),CONCATENATE("R",'Mapa final'!#REF!),"")</f>
        <v>#REF!</v>
      </c>
      <c r="O8" s="268"/>
      <c r="P8" s="271" t="e">
        <f>IF(AND('Mapa final'!#REF!="Muy Alta",'Mapa final'!#REF!="Menor"),CONCATENATE("R",'Mapa final'!#REF!),"")</f>
        <v>#REF!</v>
      </c>
      <c r="Q8" s="267"/>
      <c r="R8" s="267" t="e">
        <f>IF(AND('Mapa final'!#REF!="Muy Alta",'Mapa final'!#REF!="Menor"),CONCATENATE("R",'Mapa final'!#REF!),"")</f>
        <v>#REF!</v>
      </c>
      <c r="S8" s="267"/>
      <c r="T8" s="267" t="e">
        <f>IF(AND('Mapa final'!#REF!="Muy Alta",'Mapa final'!#REF!="Menor"),CONCATENATE("R",'Mapa final'!#REF!),"")</f>
        <v>#REF!</v>
      </c>
      <c r="U8" s="268"/>
      <c r="V8" s="271" t="e">
        <f>IF(AND('Mapa final'!#REF!="Muy Alta",'Mapa final'!#REF!="Moderado"),CONCATENATE("R",'Mapa final'!#REF!),"")</f>
        <v>#REF!</v>
      </c>
      <c r="W8" s="267"/>
      <c r="X8" s="267" t="e">
        <f>IF(AND('Mapa final'!#REF!="Muy Alta",'Mapa final'!#REF!="Moderado"),CONCATENATE("R",'Mapa final'!#REF!),"")</f>
        <v>#REF!</v>
      </c>
      <c r="Y8" s="267"/>
      <c r="Z8" s="267" t="e">
        <f>IF(AND('Mapa final'!#REF!="Muy Alta",'Mapa final'!#REF!="Moderado"),CONCATENATE("R",'Mapa final'!#REF!),"")</f>
        <v>#REF!</v>
      </c>
      <c r="AA8" s="268"/>
      <c r="AB8" s="271" t="e">
        <f>IF(AND('Mapa final'!#REF!="Muy Alta",'Mapa final'!#REF!="Mayor"),CONCATENATE("R",'Mapa final'!#REF!),"")</f>
        <v>#REF!</v>
      </c>
      <c r="AC8" s="267"/>
      <c r="AD8" s="267" t="e">
        <f>IF(AND('Mapa final'!#REF!="Muy Alta",'Mapa final'!#REF!="Mayor"),CONCATENATE("R",'Mapa final'!#REF!),"")</f>
        <v>#REF!</v>
      </c>
      <c r="AE8" s="267"/>
      <c r="AF8" s="267" t="e">
        <f>IF(AND('Mapa final'!#REF!="Muy Alta",'Mapa final'!#REF!="Mayor"),CONCATENATE("R",'Mapa final'!#REF!),"")</f>
        <v>#REF!</v>
      </c>
      <c r="AG8" s="268"/>
      <c r="AH8" s="278" t="e">
        <f>IF(AND('Mapa final'!#REF!="Muy Alta",'Mapa final'!#REF!="Catastrófico"),CONCATENATE("R",'Mapa final'!#REF!),"")</f>
        <v>#REF!</v>
      </c>
      <c r="AI8" s="279"/>
      <c r="AJ8" s="279" t="e">
        <f>IF(AND('Mapa final'!#REF!="Muy Alta",'Mapa final'!#REF!="Catastrófico"),CONCATENATE("R",'Mapa final'!#REF!),"")</f>
        <v>#REF!</v>
      </c>
      <c r="AK8" s="279"/>
      <c r="AL8" s="279" t="e">
        <f>IF(AND('Mapa final'!#REF!="Muy Alta",'Mapa final'!#REF!="Catastrófico"),CONCATENATE("R",'Mapa final'!#REF!),"")</f>
        <v>#REF!</v>
      </c>
      <c r="AM8" s="280"/>
      <c r="AN8" s="75"/>
      <c r="AO8" s="225"/>
      <c r="AP8" s="226"/>
      <c r="AQ8" s="226"/>
      <c r="AR8" s="226"/>
      <c r="AS8" s="226"/>
      <c r="AT8" s="227"/>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20"/>
      <c r="C9" s="220"/>
      <c r="D9" s="221"/>
      <c r="E9" s="261"/>
      <c r="F9" s="262"/>
      <c r="G9" s="262"/>
      <c r="H9" s="262"/>
      <c r="I9" s="263"/>
      <c r="J9" s="271"/>
      <c r="K9" s="267"/>
      <c r="L9" s="267"/>
      <c r="M9" s="267"/>
      <c r="N9" s="267"/>
      <c r="O9" s="268"/>
      <c r="P9" s="271"/>
      <c r="Q9" s="267"/>
      <c r="R9" s="267"/>
      <c r="S9" s="267"/>
      <c r="T9" s="267"/>
      <c r="U9" s="268"/>
      <c r="V9" s="271"/>
      <c r="W9" s="267"/>
      <c r="X9" s="267"/>
      <c r="Y9" s="267"/>
      <c r="Z9" s="267"/>
      <c r="AA9" s="268"/>
      <c r="AB9" s="271"/>
      <c r="AC9" s="267"/>
      <c r="AD9" s="267"/>
      <c r="AE9" s="267"/>
      <c r="AF9" s="267"/>
      <c r="AG9" s="268"/>
      <c r="AH9" s="278"/>
      <c r="AI9" s="279"/>
      <c r="AJ9" s="279"/>
      <c r="AK9" s="279"/>
      <c r="AL9" s="279"/>
      <c r="AM9" s="280"/>
      <c r="AN9" s="75"/>
      <c r="AO9" s="225"/>
      <c r="AP9" s="226"/>
      <c r="AQ9" s="226"/>
      <c r="AR9" s="226"/>
      <c r="AS9" s="226"/>
      <c r="AT9" s="227"/>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20"/>
      <c r="C10" s="220"/>
      <c r="D10" s="221"/>
      <c r="E10" s="261"/>
      <c r="F10" s="262"/>
      <c r="G10" s="262"/>
      <c r="H10" s="262"/>
      <c r="I10" s="263"/>
      <c r="J10" s="271" t="e">
        <f>IF(AND('Mapa final'!#REF!="Muy Alta",'Mapa final'!#REF!="Leve"),CONCATENATE("R",'Mapa final'!#REF!),"")</f>
        <v>#REF!</v>
      </c>
      <c r="K10" s="267"/>
      <c r="L10" s="267" t="e">
        <f>IF(AND('Mapa final'!#REF!="Muy Alta",'Mapa final'!#REF!="Leve"),CONCATENATE("R",'Mapa final'!#REF!),"")</f>
        <v>#REF!</v>
      </c>
      <c r="M10" s="267"/>
      <c r="N10" s="267" t="e">
        <f>IF(AND('Mapa final'!#REF!="Muy Alta",'Mapa final'!#REF!="Leve"),CONCATENATE("R",'Mapa final'!#REF!),"")</f>
        <v>#REF!</v>
      </c>
      <c r="O10" s="268"/>
      <c r="P10" s="271" t="e">
        <f>IF(AND('Mapa final'!#REF!="Muy Alta",'Mapa final'!#REF!="Menor"),CONCATENATE("R",'Mapa final'!#REF!),"")</f>
        <v>#REF!</v>
      </c>
      <c r="Q10" s="267"/>
      <c r="R10" s="267" t="e">
        <f>IF(AND('Mapa final'!#REF!="Muy Alta",'Mapa final'!#REF!="Menor"),CONCATENATE("R",'Mapa final'!#REF!),"")</f>
        <v>#REF!</v>
      </c>
      <c r="S10" s="267"/>
      <c r="T10" s="267" t="e">
        <f>IF(AND('Mapa final'!#REF!="Muy Alta",'Mapa final'!#REF!="Menor"),CONCATENATE("R",'Mapa final'!#REF!),"")</f>
        <v>#REF!</v>
      </c>
      <c r="U10" s="268"/>
      <c r="V10" s="271" t="e">
        <f>IF(AND('Mapa final'!#REF!="Muy Alta",'Mapa final'!#REF!="Moderado"),CONCATENATE("R",'Mapa final'!#REF!),"")</f>
        <v>#REF!</v>
      </c>
      <c r="W10" s="267"/>
      <c r="X10" s="267" t="e">
        <f>IF(AND('Mapa final'!#REF!="Muy Alta",'Mapa final'!#REF!="Moderado"),CONCATENATE("R",'Mapa final'!#REF!),"")</f>
        <v>#REF!</v>
      </c>
      <c r="Y10" s="267"/>
      <c r="Z10" s="267" t="e">
        <f>IF(AND('Mapa final'!#REF!="Muy Alta",'Mapa final'!#REF!="Moderado"),CONCATENATE("R",'Mapa final'!#REF!),"")</f>
        <v>#REF!</v>
      </c>
      <c r="AA10" s="268"/>
      <c r="AB10" s="271" t="e">
        <f>IF(AND('Mapa final'!#REF!="Muy Alta",'Mapa final'!#REF!="Mayor"),CONCATENATE("R",'Mapa final'!#REF!),"")</f>
        <v>#REF!</v>
      </c>
      <c r="AC10" s="267"/>
      <c r="AD10" s="267" t="e">
        <f>IF(AND('Mapa final'!#REF!="Muy Alta",'Mapa final'!#REF!="Mayor"),CONCATENATE("R",'Mapa final'!#REF!),"")</f>
        <v>#REF!</v>
      </c>
      <c r="AE10" s="267"/>
      <c r="AF10" s="267" t="e">
        <f>IF(AND('Mapa final'!#REF!="Muy Alta",'Mapa final'!#REF!="Mayor"),CONCATENATE("R",'Mapa final'!#REF!),"")</f>
        <v>#REF!</v>
      </c>
      <c r="AG10" s="268"/>
      <c r="AH10" s="278" t="e">
        <f>IF(AND('Mapa final'!#REF!="Muy Alta",'Mapa final'!#REF!="Catastrófico"),CONCATENATE("R",'Mapa final'!#REF!),"")</f>
        <v>#REF!</v>
      </c>
      <c r="AI10" s="279"/>
      <c r="AJ10" s="279" t="e">
        <f>IF(AND('Mapa final'!#REF!="Muy Alta",'Mapa final'!#REF!="Catastrófico"),CONCATENATE("R",'Mapa final'!#REF!),"")</f>
        <v>#REF!</v>
      </c>
      <c r="AK10" s="279"/>
      <c r="AL10" s="279" t="e">
        <f>IF(AND('Mapa final'!#REF!="Muy Alta",'Mapa final'!#REF!="Catastrófico"),CONCATENATE("R",'Mapa final'!#REF!),"")</f>
        <v>#REF!</v>
      </c>
      <c r="AM10" s="280"/>
      <c r="AN10" s="75"/>
      <c r="AO10" s="225"/>
      <c r="AP10" s="226"/>
      <c r="AQ10" s="226"/>
      <c r="AR10" s="226"/>
      <c r="AS10" s="226"/>
      <c r="AT10" s="227"/>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20"/>
      <c r="C11" s="220"/>
      <c r="D11" s="221"/>
      <c r="E11" s="261"/>
      <c r="F11" s="262"/>
      <c r="G11" s="262"/>
      <c r="H11" s="262"/>
      <c r="I11" s="263"/>
      <c r="J11" s="271"/>
      <c r="K11" s="267"/>
      <c r="L11" s="267"/>
      <c r="M11" s="267"/>
      <c r="N11" s="267"/>
      <c r="O11" s="268"/>
      <c r="P11" s="271"/>
      <c r="Q11" s="267"/>
      <c r="R11" s="267"/>
      <c r="S11" s="267"/>
      <c r="T11" s="267"/>
      <c r="U11" s="268"/>
      <c r="V11" s="271"/>
      <c r="W11" s="267"/>
      <c r="X11" s="267"/>
      <c r="Y11" s="267"/>
      <c r="Z11" s="267"/>
      <c r="AA11" s="268"/>
      <c r="AB11" s="271"/>
      <c r="AC11" s="267"/>
      <c r="AD11" s="267"/>
      <c r="AE11" s="267"/>
      <c r="AF11" s="267"/>
      <c r="AG11" s="268"/>
      <c r="AH11" s="278"/>
      <c r="AI11" s="279"/>
      <c r="AJ11" s="279"/>
      <c r="AK11" s="279"/>
      <c r="AL11" s="279"/>
      <c r="AM11" s="280"/>
      <c r="AN11" s="75"/>
      <c r="AO11" s="225"/>
      <c r="AP11" s="226"/>
      <c r="AQ11" s="226"/>
      <c r="AR11" s="226"/>
      <c r="AS11" s="226"/>
      <c r="AT11" s="227"/>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20"/>
      <c r="C12" s="220"/>
      <c r="D12" s="221"/>
      <c r="E12" s="261"/>
      <c r="F12" s="262"/>
      <c r="G12" s="262"/>
      <c r="H12" s="262"/>
      <c r="I12" s="263"/>
      <c r="J12" s="271" t="e">
        <f>IF(AND('Mapa final'!#REF!="Muy Alta",'Mapa final'!#REF!="Leve"),CONCATENATE("R",'Mapa final'!#REF!),"")</f>
        <v>#REF!</v>
      </c>
      <c r="K12" s="267"/>
      <c r="L12" s="267" t="str">
        <f>IF(AND('Mapa final'!$L$15="Muy Alta",'Mapa final'!$P$15="Leve"),CONCATENATE("R",'Mapa final'!$A$15),"")</f>
        <v/>
      </c>
      <c r="M12" s="267"/>
      <c r="N12" s="267" t="str">
        <f>IF(AND('Mapa final'!$L$17="Muy Alta",'Mapa final'!$P$17="Leve"),CONCATENATE("R",'Mapa final'!$A$17),"")</f>
        <v/>
      </c>
      <c r="O12" s="268"/>
      <c r="P12" s="271" t="e">
        <f>IF(AND('Mapa final'!#REF!="Muy Alta",'Mapa final'!#REF!="Menor"),CONCATENATE("R",'Mapa final'!#REF!),"")</f>
        <v>#REF!</v>
      </c>
      <c r="Q12" s="267"/>
      <c r="R12" s="267" t="str">
        <f>IF(AND('Mapa final'!$L$15="Muy Alta",'Mapa final'!$P$15="Menor"),CONCATENATE("R",'Mapa final'!$A$15),"")</f>
        <v/>
      </c>
      <c r="S12" s="267"/>
      <c r="T12" s="267" t="str">
        <f>IF(AND('Mapa final'!$L$17="Muy Alta",'Mapa final'!$P$17="Menor"),CONCATENATE("R",'Mapa final'!$A$17),"")</f>
        <v/>
      </c>
      <c r="U12" s="268"/>
      <c r="V12" s="271" t="e">
        <f>IF(AND('Mapa final'!#REF!="Muy Alta",'Mapa final'!#REF!="Moderado"),CONCATENATE("R",'Mapa final'!#REF!),"")</f>
        <v>#REF!</v>
      </c>
      <c r="W12" s="267"/>
      <c r="X12" s="267" t="str">
        <f>IF(AND('Mapa final'!$L$15="Muy Alta",'Mapa final'!$P$15="Moderado"),CONCATENATE("R",'Mapa final'!$A$15),"")</f>
        <v/>
      </c>
      <c r="Y12" s="267"/>
      <c r="Z12" s="267" t="str">
        <f>IF(AND('Mapa final'!$L$17="Muy Alta",'Mapa final'!$P$17="Moderado"),CONCATENATE("R",'Mapa final'!$A$17),"")</f>
        <v/>
      </c>
      <c r="AA12" s="268"/>
      <c r="AB12" s="271" t="e">
        <f>IF(AND('Mapa final'!#REF!="Muy Alta",'Mapa final'!#REF!="Mayor"),CONCATENATE("R",'Mapa final'!#REF!),"")</f>
        <v>#REF!</v>
      </c>
      <c r="AC12" s="267"/>
      <c r="AD12" s="267" t="str">
        <f>IF(AND('Mapa final'!$L$15="Muy Alta",'Mapa final'!$P$15="Mayor"),CONCATENATE("R",'Mapa final'!$A$15),"")</f>
        <v/>
      </c>
      <c r="AE12" s="267"/>
      <c r="AF12" s="267" t="str">
        <f>IF(AND('Mapa final'!$L$17="Muy Alta",'Mapa final'!$P$17="Mayor"),CONCATENATE("R",'Mapa final'!$A$17),"")</f>
        <v/>
      </c>
      <c r="AG12" s="268"/>
      <c r="AH12" s="278" t="e">
        <f>IF(AND('Mapa final'!#REF!="Muy Alta",'Mapa final'!#REF!="Catastrófico"),CONCATENATE("R",'Mapa final'!#REF!),"")</f>
        <v>#REF!</v>
      </c>
      <c r="AI12" s="279"/>
      <c r="AJ12" s="279" t="str">
        <f>IF(AND('Mapa final'!$L$15="Muy Alta",'Mapa final'!$P$15="Catastrófico"),CONCATENATE("R",'Mapa final'!$A$15),"")</f>
        <v/>
      </c>
      <c r="AK12" s="279"/>
      <c r="AL12" s="279" t="str">
        <f>IF(AND('Mapa final'!$L$17="Muy Alta",'Mapa final'!$P$17="Catastrófico"),CONCATENATE("R",'Mapa final'!$A$17),"")</f>
        <v/>
      </c>
      <c r="AM12" s="280"/>
      <c r="AN12" s="75"/>
      <c r="AO12" s="225"/>
      <c r="AP12" s="226"/>
      <c r="AQ12" s="226"/>
      <c r="AR12" s="226"/>
      <c r="AS12" s="226"/>
      <c r="AT12" s="227"/>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20"/>
      <c r="C13" s="220"/>
      <c r="D13" s="221"/>
      <c r="E13" s="264"/>
      <c r="F13" s="265"/>
      <c r="G13" s="265"/>
      <c r="H13" s="265"/>
      <c r="I13" s="266"/>
      <c r="J13" s="271"/>
      <c r="K13" s="267"/>
      <c r="L13" s="267"/>
      <c r="M13" s="267"/>
      <c r="N13" s="267"/>
      <c r="O13" s="268"/>
      <c r="P13" s="271"/>
      <c r="Q13" s="267"/>
      <c r="R13" s="267"/>
      <c r="S13" s="267"/>
      <c r="T13" s="267"/>
      <c r="U13" s="268"/>
      <c r="V13" s="271"/>
      <c r="W13" s="267"/>
      <c r="X13" s="267"/>
      <c r="Y13" s="267"/>
      <c r="Z13" s="267"/>
      <c r="AA13" s="268"/>
      <c r="AB13" s="271"/>
      <c r="AC13" s="267"/>
      <c r="AD13" s="267"/>
      <c r="AE13" s="267"/>
      <c r="AF13" s="267"/>
      <c r="AG13" s="268"/>
      <c r="AH13" s="281"/>
      <c r="AI13" s="282"/>
      <c r="AJ13" s="282"/>
      <c r="AK13" s="282"/>
      <c r="AL13" s="282"/>
      <c r="AM13" s="283"/>
      <c r="AN13" s="75"/>
      <c r="AO13" s="228"/>
      <c r="AP13" s="229"/>
      <c r="AQ13" s="229"/>
      <c r="AR13" s="229"/>
      <c r="AS13" s="229"/>
      <c r="AT13" s="230"/>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20"/>
      <c r="C14" s="220"/>
      <c r="D14" s="221"/>
      <c r="E14" s="258" t="s">
        <v>114</v>
      </c>
      <c r="F14" s="259"/>
      <c r="G14" s="259"/>
      <c r="H14" s="259"/>
      <c r="I14" s="259"/>
      <c r="J14" s="293" t="e">
        <f>IF(AND('Mapa final'!#REF!="Alta",'Mapa final'!#REF!="Leve"),CONCATENATE("R",'Mapa final'!#REF!),"")</f>
        <v>#REF!</v>
      </c>
      <c r="K14" s="294"/>
      <c r="L14" s="294" t="str">
        <f>IF(AND('Mapa final'!$L$12="Alta",'Mapa final'!$P$12="Leve"),CONCATENATE("R",'Mapa final'!$A$12),"")</f>
        <v/>
      </c>
      <c r="M14" s="294"/>
      <c r="N14" s="294" t="e">
        <f>IF(AND('Mapa final'!#REF!="Alta",'Mapa final'!#REF!="Leve"),CONCATENATE("R",'Mapa final'!#REF!),"")</f>
        <v>#REF!</v>
      </c>
      <c r="O14" s="295"/>
      <c r="P14" s="293" t="e">
        <f>IF(AND('Mapa final'!#REF!="Alta",'Mapa final'!#REF!="Menor"),CONCATENATE("R",'Mapa final'!#REF!),"")</f>
        <v>#REF!</v>
      </c>
      <c r="Q14" s="294"/>
      <c r="R14" s="294" t="str">
        <f>IF(AND('Mapa final'!$L$12="Alta",'Mapa final'!$P$12="Menor"),CONCATENATE("R",'Mapa final'!$A$12),"")</f>
        <v/>
      </c>
      <c r="S14" s="294"/>
      <c r="T14" s="294" t="e">
        <f>IF(AND('Mapa final'!#REF!="Alta",'Mapa final'!#REF!="Menor"),CONCATENATE("R",'Mapa final'!#REF!),"")</f>
        <v>#REF!</v>
      </c>
      <c r="U14" s="295"/>
      <c r="V14" s="269" t="e">
        <f>IF(AND('Mapa final'!#REF!="Alta",'Mapa final'!#REF!="Moderado"),CONCATENATE("R",'Mapa final'!#REF!),"")</f>
        <v>#REF!</v>
      </c>
      <c r="W14" s="270"/>
      <c r="X14" s="270" t="str">
        <f>IF(AND('Mapa final'!$L$12="Alta",'Mapa final'!$P$12="Moderado"),CONCATENATE("R",'Mapa final'!$A$12),"")</f>
        <v/>
      </c>
      <c r="Y14" s="270"/>
      <c r="Z14" s="270" t="e">
        <f>IF(AND('Mapa final'!#REF!="Alta",'Mapa final'!#REF!="Moderado"),CONCATENATE("R",'Mapa final'!#REF!),"")</f>
        <v>#REF!</v>
      </c>
      <c r="AA14" s="272"/>
      <c r="AB14" s="269" t="e">
        <f>IF(AND('Mapa final'!#REF!="Alta",'Mapa final'!#REF!="Mayor"),CONCATENATE("R",'Mapa final'!#REF!),"")</f>
        <v>#REF!</v>
      </c>
      <c r="AC14" s="270"/>
      <c r="AD14" s="270" t="str">
        <f>IF(AND('Mapa final'!$L$12="Alta",'Mapa final'!$P$12="Mayor"),CONCATENATE("R",'Mapa final'!$A$12),"")</f>
        <v/>
      </c>
      <c r="AE14" s="270"/>
      <c r="AF14" s="270" t="e">
        <f>IF(AND('Mapa final'!#REF!="Alta",'Mapa final'!#REF!="Mayor"),CONCATENATE("R",'Mapa final'!#REF!),"")</f>
        <v>#REF!</v>
      </c>
      <c r="AG14" s="272"/>
      <c r="AH14" s="284" t="e">
        <f>IF(AND('Mapa final'!#REF!="Alta",'Mapa final'!#REF!="Catastrófico"),CONCATENATE("R",'Mapa final'!#REF!),"")</f>
        <v>#REF!</v>
      </c>
      <c r="AI14" s="285"/>
      <c r="AJ14" s="285" t="str">
        <f>IF(AND('Mapa final'!$L$12="Alta",'Mapa final'!$P$12="Catastrófico"),CONCATENATE("R",'Mapa final'!$A$12),"")</f>
        <v/>
      </c>
      <c r="AK14" s="285"/>
      <c r="AL14" s="285" t="e">
        <f>IF(AND('Mapa final'!#REF!="Alta",'Mapa final'!#REF!="Catastrófico"),CONCATENATE("R",'Mapa final'!#REF!),"")</f>
        <v>#REF!</v>
      </c>
      <c r="AM14" s="286"/>
      <c r="AN14" s="75"/>
      <c r="AO14" s="231" t="s">
        <v>79</v>
      </c>
      <c r="AP14" s="232"/>
      <c r="AQ14" s="232"/>
      <c r="AR14" s="232"/>
      <c r="AS14" s="232"/>
      <c r="AT14" s="233"/>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20"/>
      <c r="C15" s="220"/>
      <c r="D15" s="221"/>
      <c r="E15" s="261"/>
      <c r="F15" s="262"/>
      <c r="G15" s="262"/>
      <c r="H15" s="262"/>
      <c r="I15" s="262"/>
      <c r="J15" s="287"/>
      <c r="K15" s="288"/>
      <c r="L15" s="288"/>
      <c r="M15" s="288"/>
      <c r="N15" s="288"/>
      <c r="O15" s="289"/>
      <c r="P15" s="287"/>
      <c r="Q15" s="288"/>
      <c r="R15" s="288"/>
      <c r="S15" s="288"/>
      <c r="T15" s="288"/>
      <c r="U15" s="289"/>
      <c r="V15" s="271"/>
      <c r="W15" s="267"/>
      <c r="X15" s="267"/>
      <c r="Y15" s="267"/>
      <c r="Z15" s="267"/>
      <c r="AA15" s="268"/>
      <c r="AB15" s="271"/>
      <c r="AC15" s="267"/>
      <c r="AD15" s="267"/>
      <c r="AE15" s="267"/>
      <c r="AF15" s="267"/>
      <c r="AG15" s="268"/>
      <c r="AH15" s="278"/>
      <c r="AI15" s="279"/>
      <c r="AJ15" s="279"/>
      <c r="AK15" s="279"/>
      <c r="AL15" s="279"/>
      <c r="AM15" s="280"/>
      <c r="AN15" s="75"/>
      <c r="AO15" s="234"/>
      <c r="AP15" s="235"/>
      <c r="AQ15" s="235"/>
      <c r="AR15" s="235"/>
      <c r="AS15" s="235"/>
      <c r="AT15" s="236"/>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20"/>
      <c r="C16" s="220"/>
      <c r="D16" s="221"/>
      <c r="E16" s="261"/>
      <c r="F16" s="262"/>
      <c r="G16" s="262"/>
      <c r="H16" s="262"/>
      <c r="I16" s="262"/>
      <c r="J16" s="287" t="e">
        <f>IF(AND('Mapa final'!#REF!="Alta",'Mapa final'!#REF!="Leve"),CONCATENATE("R",'Mapa final'!#REF!),"")</f>
        <v>#REF!</v>
      </c>
      <c r="K16" s="288"/>
      <c r="L16" s="288" t="e">
        <f>IF(AND('Mapa final'!#REF!="Alta",'Mapa final'!#REF!="Leve"),CONCATENATE("R",'Mapa final'!#REF!),"")</f>
        <v>#REF!</v>
      </c>
      <c r="M16" s="288"/>
      <c r="N16" s="288" t="e">
        <f>IF(AND('Mapa final'!#REF!="Alta",'Mapa final'!#REF!="Leve"),CONCATENATE("R",'Mapa final'!#REF!),"")</f>
        <v>#REF!</v>
      </c>
      <c r="O16" s="289"/>
      <c r="P16" s="287" t="e">
        <f>IF(AND('Mapa final'!#REF!="Alta",'Mapa final'!#REF!="Menor"),CONCATENATE("R",'Mapa final'!#REF!),"")</f>
        <v>#REF!</v>
      </c>
      <c r="Q16" s="288"/>
      <c r="R16" s="288" t="e">
        <f>IF(AND('Mapa final'!#REF!="Alta",'Mapa final'!#REF!="Menor"),CONCATENATE("R",'Mapa final'!#REF!),"")</f>
        <v>#REF!</v>
      </c>
      <c r="S16" s="288"/>
      <c r="T16" s="288" t="e">
        <f>IF(AND('Mapa final'!#REF!="Alta",'Mapa final'!#REF!="Menor"),CONCATENATE("R",'Mapa final'!#REF!),"")</f>
        <v>#REF!</v>
      </c>
      <c r="U16" s="289"/>
      <c r="V16" s="271" t="e">
        <f>IF(AND('Mapa final'!#REF!="Alta",'Mapa final'!#REF!="Moderado"),CONCATENATE("R",'Mapa final'!#REF!),"")</f>
        <v>#REF!</v>
      </c>
      <c r="W16" s="267"/>
      <c r="X16" s="267" t="e">
        <f>IF(AND('Mapa final'!#REF!="Alta",'Mapa final'!#REF!="Moderado"),CONCATENATE("R",'Mapa final'!#REF!),"")</f>
        <v>#REF!</v>
      </c>
      <c r="Y16" s="267"/>
      <c r="Z16" s="267" t="e">
        <f>IF(AND('Mapa final'!#REF!="Alta",'Mapa final'!#REF!="Moderado"),CONCATENATE("R",'Mapa final'!#REF!),"")</f>
        <v>#REF!</v>
      </c>
      <c r="AA16" s="268"/>
      <c r="AB16" s="271" t="e">
        <f>IF(AND('Mapa final'!#REF!="Alta",'Mapa final'!#REF!="Mayor"),CONCATENATE("R",'Mapa final'!#REF!),"")</f>
        <v>#REF!</v>
      </c>
      <c r="AC16" s="267"/>
      <c r="AD16" s="267" t="e">
        <f>IF(AND('Mapa final'!#REF!="Alta",'Mapa final'!#REF!="Mayor"),CONCATENATE("R",'Mapa final'!#REF!),"")</f>
        <v>#REF!</v>
      </c>
      <c r="AE16" s="267"/>
      <c r="AF16" s="267" t="e">
        <f>IF(AND('Mapa final'!#REF!="Alta",'Mapa final'!#REF!="Mayor"),CONCATENATE("R",'Mapa final'!#REF!),"")</f>
        <v>#REF!</v>
      </c>
      <c r="AG16" s="268"/>
      <c r="AH16" s="278" t="e">
        <f>IF(AND('Mapa final'!#REF!="Alta",'Mapa final'!#REF!="Catastrófico"),CONCATENATE("R",'Mapa final'!#REF!),"")</f>
        <v>#REF!</v>
      </c>
      <c r="AI16" s="279"/>
      <c r="AJ16" s="279" t="e">
        <f>IF(AND('Mapa final'!#REF!="Alta",'Mapa final'!#REF!="Catastrófico"),CONCATENATE("R",'Mapa final'!#REF!),"")</f>
        <v>#REF!</v>
      </c>
      <c r="AK16" s="279"/>
      <c r="AL16" s="279" t="e">
        <f>IF(AND('Mapa final'!#REF!="Alta",'Mapa final'!#REF!="Catastrófico"),CONCATENATE("R",'Mapa final'!#REF!),"")</f>
        <v>#REF!</v>
      </c>
      <c r="AM16" s="280"/>
      <c r="AN16" s="75"/>
      <c r="AO16" s="234"/>
      <c r="AP16" s="235"/>
      <c r="AQ16" s="235"/>
      <c r="AR16" s="235"/>
      <c r="AS16" s="235"/>
      <c r="AT16" s="236"/>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20"/>
      <c r="C17" s="220"/>
      <c r="D17" s="221"/>
      <c r="E17" s="261"/>
      <c r="F17" s="262"/>
      <c r="G17" s="262"/>
      <c r="H17" s="262"/>
      <c r="I17" s="262"/>
      <c r="J17" s="287"/>
      <c r="K17" s="288"/>
      <c r="L17" s="288"/>
      <c r="M17" s="288"/>
      <c r="N17" s="288"/>
      <c r="O17" s="289"/>
      <c r="P17" s="287"/>
      <c r="Q17" s="288"/>
      <c r="R17" s="288"/>
      <c r="S17" s="288"/>
      <c r="T17" s="288"/>
      <c r="U17" s="289"/>
      <c r="V17" s="271"/>
      <c r="W17" s="267"/>
      <c r="X17" s="267"/>
      <c r="Y17" s="267"/>
      <c r="Z17" s="267"/>
      <c r="AA17" s="268"/>
      <c r="AB17" s="271"/>
      <c r="AC17" s="267"/>
      <c r="AD17" s="267"/>
      <c r="AE17" s="267"/>
      <c r="AF17" s="267"/>
      <c r="AG17" s="268"/>
      <c r="AH17" s="278"/>
      <c r="AI17" s="279"/>
      <c r="AJ17" s="279"/>
      <c r="AK17" s="279"/>
      <c r="AL17" s="279"/>
      <c r="AM17" s="280"/>
      <c r="AN17" s="75"/>
      <c r="AO17" s="234"/>
      <c r="AP17" s="235"/>
      <c r="AQ17" s="235"/>
      <c r="AR17" s="235"/>
      <c r="AS17" s="235"/>
      <c r="AT17" s="236"/>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20"/>
      <c r="C18" s="220"/>
      <c r="D18" s="221"/>
      <c r="E18" s="261"/>
      <c r="F18" s="262"/>
      <c r="G18" s="262"/>
      <c r="H18" s="262"/>
      <c r="I18" s="262"/>
      <c r="J18" s="287" t="e">
        <f>IF(AND('Mapa final'!#REF!="Alta",'Mapa final'!#REF!="Leve"),CONCATENATE("R",'Mapa final'!#REF!),"")</f>
        <v>#REF!</v>
      </c>
      <c r="K18" s="288"/>
      <c r="L18" s="288" t="e">
        <f>IF(AND('Mapa final'!#REF!="Alta",'Mapa final'!#REF!="Leve"),CONCATENATE("R",'Mapa final'!#REF!),"")</f>
        <v>#REF!</v>
      </c>
      <c r="M18" s="288"/>
      <c r="N18" s="288" t="e">
        <f>IF(AND('Mapa final'!#REF!="Alta",'Mapa final'!#REF!="Leve"),CONCATENATE("R",'Mapa final'!#REF!),"")</f>
        <v>#REF!</v>
      </c>
      <c r="O18" s="289"/>
      <c r="P18" s="287" t="e">
        <f>IF(AND('Mapa final'!#REF!="Alta",'Mapa final'!#REF!="Menor"),CONCATENATE("R",'Mapa final'!#REF!),"")</f>
        <v>#REF!</v>
      </c>
      <c r="Q18" s="288"/>
      <c r="R18" s="288" t="e">
        <f>IF(AND('Mapa final'!#REF!="Alta",'Mapa final'!#REF!="Menor"),CONCATENATE("R",'Mapa final'!#REF!),"")</f>
        <v>#REF!</v>
      </c>
      <c r="S18" s="288"/>
      <c r="T18" s="288" t="e">
        <f>IF(AND('Mapa final'!#REF!="Alta",'Mapa final'!#REF!="Menor"),CONCATENATE("R",'Mapa final'!#REF!),"")</f>
        <v>#REF!</v>
      </c>
      <c r="U18" s="289"/>
      <c r="V18" s="271" t="e">
        <f>IF(AND('Mapa final'!#REF!="Alta",'Mapa final'!#REF!="Moderado"),CONCATENATE("R",'Mapa final'!#REF!),"")</f>
        <v>#REF!</v>
      </c>
      <c r="W18" s="267"/>
      <c r="X18" s="267" t="e">
        <f>IF(AND('Mapa final'!#REF!="Alta",'Mapa final'!#REF!="Moderado"),CONCATENATE("R",'Mapa final'!#REF!),"")</f>
        <v>#REF!</v>
      </c>
      <c r="Y18" s="267"/>
      <c r="Z18" s="267" t="e">
        <f>IF(AND('Mapa final'!#REF!="Alta",'Mapa final'!#REF!="Moderado"),CONCATENATE("R",'Mapa final'!#REF!),"")</f>
        <v>#REF!</v>
      </c>
      <c r="AA18" s="268"/>
      <c r="AB18" s="271" t="e">
        <f>IF(AND('Mapa final'!#REF!="Alta",'Mapa final'!#REF!="Mayor"),CONCATENATE("R",'Mapa final'!#REF!),"")</f>
        <v>#REF!</v>
      </c>
      <c r="AC18" s="267"/>
      <c r="AD18" s="267" t="e">
        <f>IF(AND('Mapa final'!#REF!="Alta",'Mapa final'!#REF!="Mayor"),CONCATENATE("R",'Mapa final'!#REF!),"")</f>
        <v>#REF!</v>
      </c>
      <c r="AE18" s="267"/>
      <c r="AF18" s="267" t="e">
        <f>IF(AND('Mapa final'!#REF!="Alta",'Mapa final'!#REF!="Mayor"),CONCATENATE("R",'Mapa final'!#REF!),"")</f>
        <v>#REF!</v>
      </c>
      <c r="AG18" s="268"/>
      <c r="AH18" s="278" t="e">
        <f>IF(AND('Mapa final'!#REF!="Alta",'Mapa final'!#REF!="Catastrófico"),CONCATENATE("R",'Mapa final'!#REF!),"")</f>
        <v>#REF!</v>
      </c>
      <c r="AI18" s="279"/>
      <c r="AJ18" s="279" t="e">
        <f>IF(AND('Mapa final'!#REF!="Alta",'Mapa final'!#REF!="Catastrófico"),CONCATENATE("R",'Mapa final'!#REF!),"")</f>
        <v>#REF!</v>
      </c>
      <c r="AK18" s="279"/>
      <c r="AL18" s="279" t="e">
        <f>IF(AND('Mapa final'!#REF!="Alta",'Mapa final'!#REF!="Catastrófico"),CONCATENATE("R",'Mapa final'!#REF!),"")</f>
        <v>#REF!</v>
      </c>
      <c r="AM18" s="280"/>
      <c r="AN18" s="75"/>
      <c r="AO18" s="234"/>
      <c r="AP18" s="235"/>
      <c r="AQ18" s="235"/>
      <c r="AR18" s="235"/>
      <c r="AS18" s="235"/>
      <c r="AT18" s="236"/>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20"/>
      <c r="C19" s="220"/>
      <c r="D19" s="221"/>
      <c r="E19" s="261"/>
      <c r="F19" s="262"/>
      <c r="G19" s="262"/>
      <c r="H19" s="262"/>
      <c r="I19" s="262"/>
      <c r="J19" s="287"/>
      <c r="K19" s="288"/>
      <c r="L19" s="288"/>
      <c r="M19" s="288"/>
      <c r="N19" s="288"/>
      <c r="O19" s="289"/>
      <c r="P19" s="287"/>
      <c r="Q19" s="288"/>
      <c r="R19" s="288"/>
      <c r="S19" s="288"/>
      <c r="T19" s="288"/>
      <c r="U19" s="289"/>
      <c r="V19" s="271"/>
      <c r="W19" s="267"/>
      <c r="X19" s="267"/>
      <c r="Y19" s="267"/>
      <c r="Z19" s="267"/>
      <c r="AA19" s="268"/>
      <c r="AB19" s="271"/>
      <c r="AC19" s="267"/>
      <c r="AD19" s="267"/>
      <c r="AE19" s="267"/>
      <c r="AF19" s="267"/>
      <c r="AG19" s="268"/>
      <c r="AH19" s="278"/>
      <c r="AI19" s="279"/>
      <c r="AJ19" s="279"/>
      <c r="AK19" s="279"/>
      <c r="AL19" s="279"/>
      <c r="AM19" s="280"/>
      <c r="AN19" s="75"/>
      <c r="AO19" s="234"/>
      <c r="AP19" s="235"/>
      <c r="AQ19" s="235"/>
      <c r="AR19" s="235"/>
      <c r="AS19" s="235"/>
      <c r="AT19" s="236"/>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20"/>
      <c r="C20" s="220"/>
      <c r="D20" s="221"/>
      <c r="E20" s="261"/>
      <c r="F20" s="262"/>
      <c r="G20" s="262"/>
      <c r="H20" s="262"/>
      <c r="I20" s="262"/>
      <c r="J20" s="287" t="e">
        <f>IF(AND('Mapa final'!#REF!="Alta",'Mapa final'!#REF!="Leve"),CONCATENATE("R",'Mapa final'!#REF!),"")</f>
        <v>#REF!</v>
      </c>
      <c r="K20" s="288"/>
      <c r="L20" s="288" t="str">
        <f>IF(AND('Mapa final'!$L$15="Alta",'Mapa final'!$P$15="Leve"),CONCATENATE("R",'Mapa final'!$A$15),"")</f>
        <v/>
      </c>
      <c r="M20" s="288"/>
      <c r="N20" s="288" t="str">
        <f>IF(AND('Mapa final'!$L$17="Alta",'Mapa final'!$P$17="Leve"),CONCATENATE("R",'Mapa final'!$A$17),"")</f>
        <v/>
      </c>
      <c r="O20" s="289"/>
      <c r="P20" s="287" t="e">
        <f>IF(AND('Mapa final'!#REF!="Alta",'Mapa final'!#REF!="Menor"),CONCATENATE("R",'Mapa final'!#REF!),"")</f>
        <v>#REF!</v>
      </c>
      <c r="Q20" s="288"/>
      <c r="R20" s="288" t="str">
        <f>IF(AND('Mapa final'!$L$15="Alta",'Mapa final'!$P$15="Menor"),CONCATENATE("R",'Mapa final'!$A$15),"")</f>
        <v/>
      </c>
      <c r="S20" s="288"/>
      <c r="T20" s="288" t="str">
        <f>IF(AND('Mapa final'!$L$17="Alta",'Mapa final'!$P$17="Menor"),CONCATENATE("R",'Mapa final'!$A$17),"")</f>
        <v/>
      </c>
      <c r="U20" s="289"/>
      <c r="V20" s="271" t="e">
        <f>IF(AND('Mapa final'!#REF!="Alta",'Mapa final'!#REF!="Moderado"),CONCATENATE("R",'Mapa final'!#REF!),"")</f>
        <v>#REF!</v>
      </c>
      <c r="W20" s="267"/>
      <c r="X20" s="267" t="str">
        <f>IF(AND('Mapa final'!$L$15="Alta",'Mapa final'!$P$15="Moderado"),CONCATENATE("R",'Mapa final'!$A$15),"")</f>
        <v/>
      </c>
      <c r="Y20" s="267"/>
      <c r="Z20" s="267" t="str">
        <f>IF(AND('Mapa final'!$L$17="Alta",'Mapa final'!$P$17="Moderado"),CONCATENATE("R",'Mapa final'!$A$17),"")</f>
        <v/>
      </c>
      <c r="AA20" s="268"/>
      <c r="AB20" s="271" t="e">
        <f>IF(AND('Mapa final'!#REF!="Alta",'Mapa final'!#REF!="Mayor"),CONCATENATE("R",'Mapa final'!#REF!),"")</f>
        <v>#REF!</v>
      </c>
      <c r="AC20" s="267"/>
      <c r="AD20" s="267" t="str">
        <f>IF(AND('Mapa final'!$L$15="Alta",'Mapa final'!$P$15="Mayor"),CONCATENATE("R",'Mapa final'!$A$15),"")</f>
        <v/>
      </c>
      <c r="AE20" s="267"/>
      <c r="AF20" s="267" t="str">
        <f>IF(AND('Mapa final'!$L$17="Alta",'Mapa final'!$P$17="Mayor"),CONCATENATE("R",'Mapa final'!$A$17),"")</f>
        <v/>
      </c>
      <c r="AG20" s="268"/>
      <c r="AH20" s="278" t="e">
        <f>IF(AND('Mapa final'!#REF!="Alta",'Mapa final'!#REF!="Catastrófico"),CONCATENATE("R",'Mapa final'!#REF!),"")</f>
        <v>#REF!</v>
      </c>
      <c r="AI20" s="279"/>
      <c r="AJ20" s="279" t="str">
        <f>IF(AND('Mapa final'!$L$15="Alta",'Mapa final'!$P$15="Catastrófico"),CONCATENATE("R",'Mapa final'!$A$15),"")</f>
        <v/>
      </c>
      <c r="AK20" s="279"/>
      <c r="AL20" s="279" t="str">
        <f>IF(AND('Mapa final'!$L$17="Alta",'Mapa final'!$P$17="Catastrófico"),CONCATENATE("R",'Mapa final'!$A$17),"")</f>
        <v/>
      </c>
      <c r="AM20" s="280"/>
      <c r="AN20" s="75"/>
      <c r="AO20" s="234"/>
      <c r="AP20" s="235"/>
      <c r="AQ20" s="235"/>
      <c r="AR20" s="235"/>
      <c r="AS20" s="235"/>
      <c r="AT20" s="236"/>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20"/>
      <c r="C21" s="220"/>
      <c r="D21" s="221"/>
      <c r="E21" s="264"/>
      <c r="F21" s="265"/>
      <c r="G21" s="265"/>
      <c r="H21" s="265"/>
      <c r="I21" s="265"/>
      <c r="J21" s="290"/>
      <c r="K21" s="291"/>
      <c r="L21" s="291"/>
      <c r="M21" s="291"/>
      <c r="N21" s="291"/>
      <c r="O21" s="292"/>
      <c r="P21" s="290"/>
      <c r="Q21" s="291"/>
      <c r="R21" s="291"/>
      <c r="S21" s="291"/>
      <c r="T21" s="291"/>
      <c r="U21" s="292"/>
      <c r="V21" s="275"/>
      <c r="W21" s="276"/>
      <c r="X21" s="276"/>
      <c r="Y21" s="276"/>
      <c r="Z21" s="276"/>
      <c r="AA21" s="277"/>
      <c r="AB21" s="275"/>
      <c r="AC21" s="276"/>
      <c r="AD21" s="276"/>
      <c r="AE21" s="276"/>
      <c r="AF21" s="276"/>
      <c r="AG21" s="277"/>
      <c r="AH21" s="281"/>
      <c r="AI21" s="282"/>
      <c r="AJ21" s="282"/>
      <c r="AK21" s="282"/>
      <c r="AL21" s="282"/>
      <c r="AM21" s="283"/>
      <c r="AN21" s="75"/>
      <c r="AO21" s="237"/>
      <c r="AP21" s="238"/>
      <c r="AQ21" s="238"/>
      <c r="AR21" s="238"/>
      <c r="AS21" s="238"/>
      <c r="AT21" s="239"/>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20"/>
      <c r="C22" s="220"/>
      <c r="D22" s="221"/>
      <c r="E22" s="258" t="s">
        <v>116</v>
      </c>
      <c r="F22" s="259"/>
      <c r="G22" s="259"/>
      <c r="H22" s="259"/>
      <c r="I22" s="260"/>
      <c r="J22" s="293" t="e">
        <f>IF(AND('Mapa final'!#REF!="Media",'Mapa final'!#REF!="Leve"),CONCATENATE("R",'Mapa final'!#REF!),"")</f>
        <v>#REF!</v>
      </c>
      <c r="K22" s="294"/>
      <c r="L22" s="294" t="str">
        <f>IF(AND('Mapa final'!$L$12="Media",'Mapa final'!$P$12="Leve"),CONCATENATE("R",'Mapa final'!$A$12),"")</f>
        <v/>
      </c>
      <c r="M22" s="294"/>
      <c r="N22" s="294" t="e">
        <f>IF(AND('Mapa final'!#REF!="Media",'Mapa final'!#REF!="Leve"),CONCATENATE("R",'Mapa final'!#REF!),"")</f>
        <v>#REF!</v>
      </c>
      <c r="O22" s="295"/>
      <c r="P22" s="293" t="e">
        <f>IF(AND('Mapa final'!#REF!="Media",'Mapa final'!#REF!="Menor"),CONCATENATE("R",'Mapa final'!#REF!),"")</f>
        <v>#REF!</v>
      </c>
      <c r="Q22" s="294"/>
      <c r="R22" s="294" t="str">
        <f>IF(AND('Mapa final'!$L$12="Media",'Mapa final'!$P$12="Menor"),CONCATENATE("R",'Mapa final'!$A$12),"")</f>
        <v/>
      </c>
      <c r="S22" s="294"/>
      <c r="T22" s="294" t="e">
        <f>IF(AND('Mapa final'!#REF!="Media",'Mapa final'!#REF!="Menor"),CONCATENATE("R",'Mapa final'!#REF!),"")</f>
        <v>#REF!</v>
      </c>
      <c r="U22" s="295"/>
      <c r="V22" s="293" t="e">
        <f>IF(AND('Mapa final'!#REF!="Media",'Mapa final'!#REF!="Moderado"),CONCATENATE("R",'Mapa final'!#REF!),"")</f>
        <v>#REF!</v>
      </c>
      <c r="W22" s="294"/>
      <c r="X22" s="294" t="str">
        <f>IF(AND('Mapa final'!$L$12="Media",'Mapa final'!$P$12="Moderado"),CONCATENATE("R",'Mapa final'!$A$12),"")</f>
        <v/>
      </c>
      <c r="Y22" s="294"/>
      <c r="Z22" s="294" t="e">
        <f>IF(AND('Mapa final'!#REF!="Media",'Mapa final'!#REF!="Moderado"),CONCATENATE("R",'Mapa final'!#REF!),"")</f>
        <v>#REF!</v>
      </c>
      <c r="AA22" s="295"/>
      <c r="AB22" s="269" t="e">
        <f>IF(AND('Mapa final'!#REF!="Media",'Mapa final'!#REF!="Mayor"),CONCATENATE("R",'Mapa final'!#REF!),"")</f>
        <v>#REF!</v>
      </c>
      <c r="AC22" s="270"/>
      <c r="AD22" s="270" t="str">
        <f>IF(AND('Mapa final'!$L$12="Media",'Mapa final'!$P$12="Mayor"),CONCATENATE("R",'Mapa final'!$A$12),"")</f>
        <v/>
      </c>
      <c r="AE22" s="270"/>
      <c r="AF22" s="270" t="e">
        <f>IF(AND('Mapa final'!#REF!="Media",'Mapa final'!#REF!="Mayor"),CONCATENATE("R",'Mapa final'!#REF!),"")</f>
        <v>#REF!</v>
      </c>
      <c r="AG22" s="272"/>
      <c r="AH22" s="284" t="e">
        <f>IF(AND('Mapa final'!#REF!="Media",'Mapa final'!#REF!="Catastrófico"),CONCATENATE("R",'Mapa final'!#REF!),"")</f>
        <v>#REF!</v>
      </c>
      <c r="AI22" s="285"/>
      <c r="AJ22" s="285" t="str">
        <f>IF(AND('Mapa final'!$L$12="Media",'Mapa final'!$P$12="Catastrófico"),CONCATENATE("R",'Mapa final'!$A$12),"")</f>
        <v/>
      </c>
      <c r="AK22" s="285"/>
      <c r="AL22" s="285" t="e">
        <f>IF(AND('Mapa final'!#REF!="Media",'Mapa final'!#REF!="Catastrófico"),CONCATENATE("R",'Mapa final'!#REF!),"")</f>
        <v>#REF!</v>
      </c>
      <c r="AM22" s="286"/>
      <c r="AN22" s="75"/>
      <c r="AO22" s="240" t="s">
        <v>80</v>
      </c>
      <c r="AP22" s="241"/>
      <c r="AQ22" s="241"/>
      <c r="AR22" s="241"/>
      <c r="AS22" s="241"/>
      <c r="AT22" s="242"/>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20"/>
      <c r="C23" s="220"/>
      <c r="D23" s="221"/>
      <c r="E23" s="261"/>
      <c r="F23" s="262"/>
      <c r="G23" s="262"/>
      <c r="H23" s="262"/>
      <c r="I23" s="263"/>
      <c r="J23" s="287"/>
      <c r="K23" s="288"/>
      <c r="L23" s="288"/>
      <c r="M23" s="288"/>
      <c r="N23" s="288"/>
      <c r="O23" s="289"/>
      <c r="P23" s="287"/>
      <c r="Q23" s="288"/>
      <c r="R23" s="288"/>
      <c r="S23" s="288"/>
      <c r="T23" s="288"/>
      <c r="U23" s="289"/>
      <c r="V23" s="287"/>
      <c r="W23" s="288"/>
      <c r="X23" s="288"/>
      <c r="Y23" s="288"/>
      <c r="Z23" s="288"/>
      <c r="AA23" s="289"/>
      <c r="AB23" s="271"/>
      <c r="AC23" s="267"/>
      <c r="AD23" s="267"/>
      <c r="AE23" s="267"/>
      <c r="AF23" s="267"/>
      <c r="AG23" s="268"/>
      <c r="AH23" s="278"/>
      <c r="AI23" s="279"/>
      <c r="AJ23" s="279"/>
      <c r="AK23" s="279"/>
      <c r="AL23" s="279"/>
      <c r="AM23" s="280"/>
      <c r="AN23" s="75"/>
      <c r="AO23" s="243"/>
      <c r="AP23" s="244"/>
      <c r="AQ23" s="244"/>
      <c r="AR23" s="244"/>
      <c r="AS23" s="244"/>
      <c r="AT23" s="24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20"/>
      <c r="C24" s="220"/>
      <c r="D24" s="221"/>
      <c r="E24" s="261"/>
      <c r="F24" s="262"/>
      <c r="G24" s="262"/>
      <c r="H24" s="262"/>
      <c r="I24" s="263"/>
      <c r="J24" s="287" t="e">
        <f>IF(AND('Mapa final'!#REF!="Media",'Mapa final'!#REF!="Leve"),CONCATENATE("R",'Mapa final'!#REF!),"")</f>
        <v>#REF!</v>
      </c>
      <c r="K24" s="288"/>
      <c r="L24" s="288" t="e">
        <f>IF(AND('Mapa final'!#REF!="Media",'Mapa final'!#REF!="Leve"),CONCATENATE("R",'Mapa final'!#REF!),"")</f>
        <v>#REF!</v>
      </c>
      <c r="M24" s="288"/>
      <c r="N24" s="288" t="e">
        <f>IF(AND('Mapa final'!#REF!="Media",'Mapa final'!#REF!="Leve"),CONCATENATE("R",'Mapa final'!#REF!),"")</f>
        <v>#REF!</v>
      </c>
      <c r="O24" s="289"/>
      <c r="P24" s="287" t="e">
        <f>IF(AND('Mapa final'!#REF!="Media",'Mapa final'!#REF!="Menor"),CONCATENATE("R",'Mapa final'!#REF!),"")</f>
        <v>#REF!</v>
      </c>
      <c r="Q24" s="288"/>
      <c r="R24" s="288" t="e">
        <f>IF(AND('Mapa final'!#REF!="Media",'Mapa final'!#REF!="Menor"),CONCATENATE("R",'Mapa final'!#REF!),"")</f>
        <v>#REF!</v>
      </c>
      <c r="S24" s="288"/>
      <c r="T24" s="288" t="e">
        <f>IF(AND('Mapa final'!#REF!="Media",'Mapa final'!#REF!="Menor"),CONCATENATE("R",'Mapa final'!#REF!),"")</f>
        <v>#REF!</v>
      </c>
      <c r="U24" s="289"/>
      <c r="V24" s="287" t="e">
        <f>IF(AND('Mapa final'!#REF!="Media",'Mapa final'!#REF!="Moderado"),CONCATENATE("R",'Mapa final'!#REF!),"")</f>
        <v>#REF!</v>
      </c>
      <c r="W24" s="288"/>
      <c r="X24" s="288" t="e">
        <f>IF(AND('Mapa final'!#REF!="Media",'Mapa final'!#REF!="Moderado"),CONCATENATE("R",'Mapa final'!#REF!),"")</f>
        <v>#REF!</v>
      </c>
      <c r="Y24" s="288"/>
      <c r="Z24" s="288" t="e">
        <f>IF(AND('Mapa final'!#REF!="Media",'Mapa final'!#REF!="Moderado"),CONCATENATE("R",'Mapa final'!#REF!),"")</f>
        <v>#REF!</v>
      </c>
      <c r="AA24" s="289"/>
      <c r="AB24" s="271" t="e">
        <f>IF(AND('Mapa final'!#REF!="Media",'Mapa final'!#REF!="Mayor"),CONCATENATE("R",'Mapa final'!#REF!),"")</f>
        <v>#REF!</v>
      </c>
      <c r="AC24" s="267"/>
      <c r="AD24" s="267" t="e">
        <f>IF(AND('Mapa final'!#REF!="Media",'Mapa final'!#REF!="Mayor"),CONCATENATE("R",'Mapa final'!#REF!),"")</f>
        <v>#REF!</v>
      </c>
      <c r="AE24" s="267"/>
      <c r="AF24" s="267" t="e">
        <f>IF(AND('Mapa final'!#REF!="Media",'Mapa final'!#REF!="Mayor"),CONCATENATE("R",'Mapa final'!#REF!),"")</f>
        <v>#REF!</v>
      </c>
      <c r="AG24" s="268"/>
      <c r="AH24" s="278" t="e">
        <f>IF(AND('Mapa final'!#REF!="Media",'Mapa final'!#REF!="Catastrófico"),CONCATENATE("R",'Mapa final'!#REF!),"")</f>
        <v>#REF!</v>
      </c>
      <c r="AI24" s="279"/>
      <c r="AJ24" s="279" t="e">
        <f>IF(AND('Mapa final'!#REF!="Media",'Mapa final'!#REF!="Catastrófico"),CONCATENATE("R",'Mapa final'!#REF!),"")</f>
        <v>#REF!</v>
      </c>
      <c r="AK24" s="279"/>
      <c r="AL24" s="279" t="e">
        <f>IF(AND('Mapa final'!#REF!="Media",'Mapa final'!#REF!="Catastrófico"),CONCATENATE("R",'Mapa final'!#REF!),"")</f>
        <v>#REF!</v>
      </c>
      <c r="AM24" s="280"/>
      <c r="AN24" s="75"/>
      <c r="AO24" s="243"/>
      <c r="AP24" s="244"/>
      <c r="AQ24" s="244"/>
      <c r="AR24" s="244"/>
      <c r="AS24" s="244"/>
      <c r="AT24" s="24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20"/>
      <c r="C25" s="220"/>
      <c r="D25" s="221"/>
      <c r="E25" s="261"/>
      <c r="F25" s="262"/>
      <c r="G25" s="262"/>
      <c r="H25" s="262"/>
      <c r="I25" s="263"/>
      <c r="J25" s="287"/>
      <c r="K25" s="288"/>
      <c r="L25" s="288"/>
      <c r="M25" s="288"/>
      <c r="N25" s="288"/>
      <c r="O25" s="289"/>
      <c r="P25" s="287"/>
      <c r="Q25" s="288"/>
      <c r="R25" s="288"/>
      <c r="S25" s="288"/>
      <c r="T25" s="288"/>
      <c r="U25" s="289"/>
      <c r="V25" s="287"/>
      <c r="W25" s="288"/>
      <c r="X25" s="288"/>
      <c r="Y25" s="288"/>
      <c r="Z25" s="288"/>
      <c r="AA25" s="289"/>
      <c r="AB25" s="271"/>
      <c r="AC25" s="267"/>
      <c r="AD25" s="267"/>
      <c r="AE25" s="267"/>
      <c r="AF25" s="267"/>
      <c r="AG25" s="268"/>
      <c r="AH25" s="278"/>
      <c r="AI25" s="279"/>
      <c r="AJ25" s="279"/>
      <c r="AK25" s="279"/>
      <c r="AL25" s="279"/>
      <c r="AM25" s="280"/>
      <c r="AN25" s="75"/>
      <c r="AO25" s="243"/>
      <c r="AP25" s="244"/>
      <c r="AQ25" s="244"/>
      <c r="AR25" s="244"/>
      <c r="AS25" s="244"/>
      <c r="AT25" s="24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20"/>
      <c r="C26" s="220"/>
      <c r="D26" s="221"/>
      <c r="E26" s="261"/>
      <c r="F26" s="262"/>
      <c r="G26" s="262"/>
      <c r="H26" s="262"/>
      <c r="I26" s="263"/>
      <c r="J26" s="287" t="e">
        <f>IF(AND('Mapa final'!#REF!="Media",'Mapa final'!#REF!="Leve"),CONCATENATE("R",'Mapa final'!#REF!),"")</f>
        <v>#REF!</v>
      </c>
      <c r="K26" s="288"/>
      <c r="L26" s="288" t="e">
        <f>IF(AND('Mapa final'!#REF!="Media",'Mapa final'!#REF!="Leve"),CONCATENATE("R",'Mapa final'!#REF!),"")</f>
        <v>#REF!</v>
      </c>
      <c r="M26" s="288"/>
      <c r="N26" s="288" t="e">
        <f>IF(AND('Mapa final'!#REF!="Media",'Mapa final'!#REF!="Leve"),CONCATENATE("R",'Mapa final'!#REF!),"")</f>
        <v>#REF!</v>
      </c>
      <c r="O26" s="289"/>
      <c r="P26" s="287" t="e">
        <f>IF(AND('Mapa final'!#REF!="Media",'Mapa final'!#REF!="Menor"),CONCATENATE("R",'Mapa final'!#REF!),"")</f>
        <v>#REF!</v>
      </c>
      <c r="Q26" s="288"/>
      <c r="R26" s="288" t="e">
        <f>IF(AND('Mapa final'!#REF!="Media",'Mapa final'!#REF!="Menor"),CONCATENATE("R",'Mapa final'!#REF!),"")</f>
        <v>#REF!</v>
      </c>
      <c r="S26" s="288"/>
      <c r="T26" s="288" t="e">
        <f>IF(AND('Mapa final'!#REF!="Media",'Mapa final'!#REF!="Menor"),CONCATENATE("R",'Mapa final'!#REF!),"")</f>
        <v>#REF!</v>
      </c>
      <c r="U26" s="289"/>
      <c r="V26" s="287" t="e">
        <f>IF(AND('Mapa final'!#REF!="Media",'Mapa final'!#REF!="Moderado"),CONCATENATE("R",'Mapa final'!#REF!),"")</f>
        <v>#REF!</v>
      </c>
      <c r="W26" s="288"/>
      <c r="X26" s="288" t="e">
        <f>IF(AND('Mapa final'!#REF!="Media",'Mapa final'!#REF!="Moderado"),CONCATENATE("R",'Mapa final'!#REF!),"")</f>
        <v>#REF!</v>
      </c>
      <c r="Y26" s="288"/>
      <c r="Z26" s="288" t="e">
        <f>IF(AND('Mapa final'!#REF!="Media",'Mapa final'!#REF!="Moderado"),CONCATENATE("R",'Mapa final'!#REF!),"")</f>
        <v>#REF!</v>
      </c>
      <c r="AA26" s="289"/>
      <c r="AB26" s="271" t="e">
        <f>IF(AND('Mapa final'!#REF!="Media",'Mapa final'!#REF!="Mayor"),CONCATENATE("R",'Mapa final'!#REF!),"")</f>
        <v>#REF!</v>
      </c>
      <c r="AC26" s="267"/>
      <c r="AD26" s="267" t="e">
        <f>IF(AND('Mapa final'!#REF!="Media",'Mapa final'!#REF!="Mayor"),CONCATENATE("R",'Mapa final'!#REF!),"")</f>
        <v>#REF!</v>
      </c>
      <c r="AE26" s="267"/>
      <c r="AF26" s="267" t="e">
        <f>IF(AND('Mapa final'!#REF!="Media",'Mapa final'!#REF!="Mayor"),CONCATENATE("R",'Mapa final'!#REF!),"")</f>
        <v>#REF!</v>
      </c>
      <c r="AG26" s="268"/>
      <c r="AH26" s="278" t="e">
        <f>IF(AND('Mapa final'!#REF!="Media",'Mapa final'!#REF!="Catastrófico"),CONCATENATE("R",'Mapa final'!#REF!),"")</f>
        <v>#REF!</v>
      </c>
      <c r="AI26" s="279"/>
      <c r="AJ26" s="279" t="e">
        <f>IF(AND('Mapa final'!#REF!="Media",'Mapa final'!#REF!="Catastrófico"),CONCATENATE("R",'Mapa final'!#REF!),"")</f>
        <v>#REF!</v>
      </c>
      <c r="AK26" s="279"/>
      <c r="AL26" s="279" t="e">
        <f>IF(AND('Mapa final'!#REF!="Media",'Mapa final'!#REF!="Catastrófico"),CONCATENATE("R",'Mapa final'!#REF!),"")</f>
        <v>#REF!</v>
      </c>
      <c r="AM26" s="280"/>
      <c r="AN26" s="75"/>
      <c r="AO26" s="243"/>
      <c r="AP26" s="244"/>
      <c r="AQ26" s="244"/>
      <c r="AR26" s="244"/>
      <c r="AS26" s="244"/>
      <c r="AT26" s="24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20"/>
      <c r="C27" s="220"/>
      <c r="D27" s="221"/>
      <c r="E27" s="261"/>
      <c r="F27" s="262"/>
      <c r="G27" s="262"/>
      <c r="H27" s="262"/>
      <c r="I27" s="263"/>
      <c r="J27" s="287"/>
      <c r="K27" s="288"/>
      <c r="L27" s="288"/>
      <c r="M27" s="288"/>
      <c r="N27" s="288"/>
      <c r="O27" s="289"/>
      <c r="P27" s="287"/>
      <c r="Q27" s="288"/>
      <c r="R27" s="288"/>
      <c r="S27" s="288"/>
      <c r="T27" s="288"/>
      <c r="U27" s="289"/>
      <c r="V27" s="287"/>
      <c r="W27" s="288"/>
      <c r="X27" s="288"/>
      <c r="Y27" s="288"/>
      <c r="Z27" s="288"/>
      <c r="AA27" s="289"/>
      <c r="AB27" s="271"/>
      <c r="AC27" s="267"/>
      <c r="AD27" s="267"/>
      <c r="AE27" s="267"/>
      <c r="AF27" s="267"/>
      <c r="AG27" s="268"/>
      <c r="AH27" s="278"/>
      <c r="AI27" s="279"/>
      <c r="AJ27" s="279"/>
      <c r="AK27" s="279"/>
      <c r="AL27" s="279"/>
      <c r="AM27" s="280"/>
      <c r="AN27" s="75"/>
      <c r="AO27" s="243"/>
      <c r="AP27" s="244"/>
      <c r="AQ27" s="244"/>
      <c r="AR27" s="244"/>
      <c r="AS27" s="244"/>
      <c r="AT27" s="24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20"/>
      <c r="C28" s="220"/>
      <c r="D28" s="221"/>
      <c r="E28" s="261"/>
      <c r="F28" s="262"/>
      <c r="G28" s="262"/>
      <c r="H28" s="262"/>
      <c r="I28" s="263"/>
      <c r="J28" s="287" t="e">
        <f>IF(AND('Mapa final'!#REF!="Media",'Mapa final'!#REF!="Leve"),CONCATENATE("R",'Mapa final'!#REF!),"")</f>
        <v>#REF!</v>
      </c>
      <c r="K28" s="288"/>
      <c r="L28" s="288" t="str">
        <f>IF(AND('Mapa final'!$L$15="Media",'Mapa final'!$P$15="Leve"),CONCATENATE("R",'Mapa final'!$A$15),"")</f>
        <v/>
      </c>
      <c r="M28" s="288"/>
      <c r="N28" s="288" t="str">
        <f>IF(AND('Mapa final'!$L$17="Media",'Mapa final'!$P$17="Leve"),CONCATENATE("R",'Mapa final'!$A$17),"")</f>
        <v/>
      </c>
      <c r="O28" s="289"/>
      <c r="P28" s="287" t="e">
        <f>IF(AND('Mapa final'!#REF!="Media",'Mapa final'!#REF!="Menor"),CONCATENATE("R",'Mapa final'!#REF!),"")</f>
        <v>#REF!</v>
      </c>
      <c r="Q28" s="288"/>
      <c r="R28" s="288" t="str">
        <f>IF(AND('Mapa final'!$L$15="Media",'Mapa final'!$P$15="Menor"),CONCATENATE("R",'Mapa final'!$A$15),"")</f>
        <v/>
      </c>
      <c r="S28" s="288"/>
      <c r="T28" s="288" t="str">
        <f>IF(AND('Mapa final'!$L$17="Media",'Mapa final'!$P$17="Menor"),CONCATENATE("R",'Mapa final'!$A$17),"")</f>
        <v/>
      </c>
      <c r="U28" s="289"/>
      <c r="V28" s="287" t="e">
        <f>IF(AND('Mapa final'!#REF!="Media",'Mapa final'!#REF!="Moderado"),CONCATENATE("R",'Mapa final'!#REF!),"")</f>
        <v>#REF!</v>
      </c>
      <c r="W28" s="288"/>
      <c r="X28" s="288" t="str">
        <f>IF(AND('Mapa final'!$L$15="Media",'Mapa final'!$P$15="Moderado"),CONCATENATE("R",'Mapa final'!$A$15),"")</f>
        <v/>
      </c>
      <c r="Y28" s="288"/>
      <c r="Z28" s="288" t="str">
        <f>IF(AND('Mapa final'!$L$17="Media",'Mapa final'!$P$17="Moderado"),CONCATENATE("R",'Mapa final'!$A$17),"")</f>
        <v/>
      </c>
      <c r="AA28" s="289"/>
      <c r="AB28" s="271" t="e">
        <f>IF(AND('Mapa final'!#REF!="Media",'Mapa final'!#REF!="Mayor"),CONCATENATE("R",'Mapa final'!#REF!),"")</f>
        <v>#REF!</v>
      </c>
      <c r="AC28" s="267"/>
      <c r="AD28" s="267" t="str">
        <f>IF(AND('Mapa final'!$L$15="Media",'Mapa final'!$P$15="Mayor"),CONCATENATE("R",'Mapa final'!$A$15),"")</f>
        <v/>
      </c>
      <c r="AE28" s="267"/>
      <c r="AF28" s="267" t="str">
        <f>IF(AND('Mapa final'!$L$17="Media",'Mapa final'!$P$17="Mayor"),CONCATENATE("R",'Mapa final'!$A$17),"")</f>
        <v/>
      </c>
      <c r="AG28" s="268"/>
      <c r="AH28" s="278" t="e">
        <f>IF(AND('Mapa final'!#REF!="Media",'Mapa final'!#REF!="Catastrófico"),CONCATENATE("R",'Mapa final'!#REF!),"")</f>
        <v>#REF!</v>
      </c>
      <c r="AI28" s="279"/>
      <c r="AJ28" s="279" t="str">
        <f>IF(AND('Mapa final'!$L$15="Media",'Mapa final'!$P$15="Catastrófico"),CONCATENATE("R",'Mapa final'!$A$15),"")</f>
        <v/>
      </c>
      <c r="AK28" s="279"/>
      <c r="AL28" s="279" t="str">
        <f>IF(AND('Mapa final'!$L$17="Media",'Mapa final'!$P$17="Catastrófico"),CONCATENATE("R",'Mapa final'!$A$17),"")</f>
        <v/>
      </c>
      <c r="AM28" s="280"/>
      <c r="AN28" s="75"/>
      <c r="AO28" s="243"/>
      <c r="AP28" s="244"/>
      <c r="AQ28" s="244"/>
      <c r="AR28" s="244"/>
      <c r="AS28" s="244"/>
      <c r="AT28" s="24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20"/>
      <c r="C29" s="220"/>
      <c r="D29" s="221"/>
      <c r="E29" s="264"/>
      <c r="F29" s="265"/>
      <c r="G29" s="265"/>
      <c r="H29" s="265"/>
      <c r="I29" s="266"/>
      <c r="J29" s="287"/>
      <c r="K29" s="288"/>
      <c r="L29" s="288"/>
      <c r="M29" s="288"/>
      <c r="N29" s="288"/>
      <c r="O29" s="289"/>
      <c r="P29" s="290"/>
      <c r="Q29" s="291"/>
      <c r="R29" s="291"/>
      <c r="S29" s="291"/>
      <c r="T29" s="291"/>
      <c r="U29" s="292"/>
      <c r="V29" s="290"/>
      <c r="W29" s="291"/>
      <c r="X29" s="291"/>
      <c r="Y29" s="291"/>
      <c r="Z29" s="291"/>
      <c r="AA29" s="292"/>
      <c r="AB29" s="275"/>
      <c r="AC29" s="276"/>
      <c r="AD29" s="276"/>
      <c r="AE29" s="276"/>
      <c r="AF29" s="276"/>
      <c r="AG29" s="277"/>
      <c r="AH29" s="281"/>
      <c r="AI29" s="282"/>
      <c r="AJ29" s="282"/>
      <c r="AK29" s="282"/>
      <c r="AL29" s="282"/>
      <c r="AM29" s="283"/>
      <c r="AN29" s="75"/>
      <c r="AO29" s="246"/>
      <c r="AP29" s="247"/>
      <c r="AQ29" s="247"/>
      <c r="AR29" s="247"/>
      <c r="AS29" s="247"/>
      <c r="AT29" s="248"/>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20"/>
      <c r="C30" s="220"/>
      <c r="D30" s="221"/>
      <c r="E30" s="258" t="s">
        <v>113</v>
      </c>
      <c r="F30" s="259"/>
      <c r="G30" s="259"/>
      <c r="H30" s="259"/>
      <c r="I30" s="259"/>
      <c r="J30" s="302" t="e">
        <f>IF(AND('Mapa final'!#REF!="Baja",'Mapa final'!#REF!="Leve"),CONCATENATE("R",'Mapa final'!#REF!),"")</f>
        <v>#REF!</v>
      </c>
      <c r="K30" s="303"/>
      <c r="L30" s="303" t="str">
        <f>IF(AND('Mapa final'!$L$12="Baja",'Mapa final'!$P$12="Leve"),CONCATENATE("R",'Mapa final'!$A$12),"")</f>
        <v/>
      </c>
      <c r="M30" s="303"/>
      <c r="N30" s="303" t="e">
        <f>IF(AND('Mapa final'!#REF!="Baja",'Mapa final'!#REF!="Leve"),CONCATENATE("R",'Mapa final'!#REF!),"")</f>
        <v>#REF!</v>
      </c>
      <c r="O30" s="304"/>
      <c r="P30" s="294" t="e">
        <f>IF(AND('Mapa final'!#REF!="Baja",'Mapa final'!#REF!="Menor"),CONCATENATE("R",'Mapa final'!#REF!),"")</f>
        <v>#REF!</v>
      </c>
      <c r="Q30" s="294"/>
      <c r="R30" s="294" t="str">
        <f>IF(AND('Mapa final'!$L$12="Baja",'Mapa final'!$P$12="Menor"),CONCATENATE("R",'Mapa final'!$A$12),"")</f>
        <v/>
      </c>
      <c r="S30" s="294"/>
      <c r="T30" s="294" t="e">
        <f>IF(AND('Mapa final'!#REF!="Baja",'Mapa final'!#REF!="Menor"),CONCATENATE("R",'Mapa final'!#REF!),"")</f>
        <v>#REF!</v>
      </c>
      <c r="U30" s="295"/>
      <c r="V30" s="293" t="e">
        <f>IF(AND('Mapa final'!#REF!="Baja",'Mapa final'!#REF!="Moderado"),CONCATENATE("R",'Mapa final'!#REF!),"")</f>
        <v>#REF!</v>
      </c>
      <c r="W30" s="294"/>
      <c r="X30" s="294" t="str">
        <f>IF(AND('Mapa final'!$L$12="Baja",'Mapa final'!$P$12="Moderado"),CONCATENATE("R",'Mapa final'!$A$12),"")</f>
        <v>R1</v>
      </c>
      <c r="Y30" s="294"/>
      <c r="Z30" s="294" t="e">
        <f>IF(AND('Mapa final'!#REF!="Baja",'Mapa final'!#REF!="Moderado"),CONCATENATE("R",'Mapa final'!#REF!),"")</f>
        <v>#REF!</v>
      </c>
      <c r="AA30" s="295"/>
      <c r="AB30" s="269" t="e">
        <f>IF(AND('Mapa final'!#REF!="Baja",'Mapa final'!#REF!="Mayor"),CONCATENATE("R",'Mapa final'!#REF!),"")</f>
        <v>#REF!</v>
      </c>
      <c r="AC30" s="270"/>
      <c r="AD30" s="270" t="str">
        <f>IF(AND('Mapa final'!$L$12="Baja",'Mapa final'!$P$12="Mayor"),CONCATENATE("R",'Mapa final'!$A$12),"")</f>
        <v/>
      </c>
      <c r="AE30" s="270"/>
      <c r="AF30" s="270" t="e">
        <f>IF(AND('Mapa final'!#REF!="Baja",'Mapa final'!#REF!="Mayor"),CONCATENATE("R",'Mapa final'!#REF!),"")</f>
        <v>#REF!</v>
      </c>
      <c r="AG30" s="272"/>
      <c r="AH30" s="284" t="e">
        <f>IF(AND('Mapa final'!#REF!="Baja",'Mapa final'!#REF!="Catastrófico"),CONCATENATE("R",'Mapa final'!#REF!),"")</f>
        <v>#REF!</v>
      </c>
      <c r="AI30" s="285"/>
      <c r="AJ30" s="285" t="str">
        <f>IF(AND('Mapa final'!$L$12="Baja",'Mapa final'!$P$12="Catastrófico"),CONCATENATE("R",'Mapa final'!$A$12),"")</f>
        <v/>
      </c>
      <c r="AK30" s="285"/>
      <c r="AL30" s="285" t="e">
        <f>IF(AND('Mapa final'!#REF!="Baja",'Mapa final'!#REF!="Catastrófico"),CONCATENATE("R",'Mapa final'!#REF!),"")</f>
        <v>#REF!</v>
      </c>
      <c r="AM30" s="286"/>
      <c r="AN30" s="75"/>
      <c r="AO30" s="249" t="s">
        <v>81</v>
      </c>
      <c r="AP30" s="250"/>
      <c r="AQ30" s="250"/>
      <c r="AR30" s="250"/>
      <c r="AS30" s="250"/>
      <c r="AT30" s="251"/>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20"/>
      <c r="C31" s="220"/>
      <c r="D31" s="221"/>
      <c r="E31" s="261"/>
      <c r="F31" s="262"/>
      <c r="G31" s="262"/>
      <c r="H31" s="262"/>
      <c r="I31" s="262"/>
      <c r="J31" s="298"/>
      <c r="K31" s="296"/>
      <c r="L31" s="296"/>
      <c r="M31" s="296"/>
      <c r="N31" s="296"/>
      <c r="O31" s="297"/>
      <c r="P31" s="288"/>
      <c r="Q31" s="288"/>
      <c r="R31" s="288"/>
      <c r="S31" s="288"/>
      <c r="T31" s="288"/>
      <c r="U31" s="289"/>
      <c r="V31" s="287"/>
      <c r="W31" s="288"/>
      <c r="X31" s="288"/>
      <c r="Y31" s="288"/>
      <c r="Z31" s="288"/>
      <c r="AA31" s="289"/>
      <c r="AB31" s="271"/>
      <c r="AC31" s="267"/>
      <c r="AD31" s="267"/>
      <c r="AE31" s="267"/>
      <c r="AF31" s="267"/>
      <c r="AG31" s="268"/>
      <c r="AH31" s="278"/>
      <c r="AI31" s="279"/>
      <c r="AJ31" s="279"/>
      <c r="AK31" s="279"/>
      <c r="AL31" s="279"/>
      <c r="AM31" s="280"/>
      <c r="AN31" s="75"/>
      <c r="AO31" s="252"/>
      <c r="AP31" s="253"/>
      <c r="AQ31" s="253"/>
      <c r="AR31" s="253"/>
      <c r="AS31" s="253"/>
      <c r="AT31" s="254"/>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20"/>
      <c r="C32" s="220"/>
      <c r="D32" s="221"/>
      <c r="E32" s="261"/>
      <c r="F32" s="262"/>
      <c r="G32" s="262"/>
      <c r="H32" s="262"/>
      <c r="I32" s="262"/>
      <c r="J32" s="298" t="e">
        <f>IF(AND('Mapa final'!#REF!="Baja",'Mapa final'!#REF!="Leve"),CONCATENATE("R",'Mapa final'!#REF!),"")</f>
        <v>#REF!</v>
      </c>
      <c r="K32" s="296"/>
      <c r="L32" s="296" t="e">
        <f>IF(AND('Mapa final'!#REF!="Baja",'Mapa final'!#REF!="Leve"),CONCATENATE("R",'Mapa final'!#REF!),"")</f>
        <v>#REF!</v>
      </c>
      <c r="M32" s="296"/>
      <c r="N32" s="296" t="e">
        <f>IF(AND('Mapa final'!#REF!="Baja",'Mapa final'!#REF!="Leve"),CONCATENATE("R",'Mapa final'!#REF!),"")</f>
        <v>#REF!</v>
      </c>
      <c r="O32" s="297"/>
      <c r="P32" s="288" t="e">
        <f>IF(AND('Mapa final'!#REF!="Baja",'Mapa final'!#REF!="Menor"),CONCATENATE("R",'Mapa final'!#REF!),"")</f>
        <v>#REF!</v>
      </c>
      <c r="Q32" s="288"/>
      <c r="R32" s="288" t="e">
        <f>IF(AND('Mapa final'!#REF!="Baja",'Mapa final'!#REF!="Menor"),CONCATENATE("R",'Mapa final'!#REF!),"")</f>
        <v>#REF!</v>
      </c>
      <c r="S32" s="288"/>
      <c r="T32" s="288" t="e">
        <f>IF(AND('Mapa final'!#REF!="Baja",'Mapa final'!#REF!="Menor"),CONCATENATE("R",'Mapa final'!#REF!),"")</f>
        <v>#REF!</v>
      </c>
      <c r="U32" s="289"/>
      <c r="V32" s="287" t="e">
        <f>IF(AND('Mapa final'!#REF!="Baja",'Mapa final'!#REF!="Moderado"),CONCATENATE("R",'Mapa final'!#REF!),"")</f>
        <v>#REF!</v>
      </c>
      <c r="W32" s="288"/>
      <c r="X32" s="288" t="e">
        <f>IF(AND('Mapa final'!#REF!="Baja",'Mapa final'!#REF!="Moderado"),CONCATENATE("R",'Mapa final'!#REF!),"")</f>
        <v>#REF!</v>
      </c>
      <c r="Y32" s="288"/>
      <c r="Z32" s="288" t="e">
        <f>IF(AND('Mapa final'!#REF!="Baja",'Mapa final'!#REF!="Moderado"),CONCATENATE("R",'Mapa final'!#REF!),"")</f>
        <v>#REF!</v>
      </c>
      <c r="AA32" s="289"/>
      <c r="AB32" s="271" t="e">
        <f>IF(AND('Mapa final'!#REF!="Baja",'Mapa final'!#REF!="Mayor"),CONCATENATE("R",'Mapa final'!#REF!),"")</f>
        <v>#REF!</v>
      </c>
      <c r="AC32" s="267"/>
      <c r="AD32" s="267" t="e">
        <f>IF(AND('Mapa final'!#REF!="Baja",'Mapa final'!#REF!="Mayor"),CONCATENATE("R",'Mapa final'!#REF!),"")</f>
        <v>#REF!</v>
      </c>
      <c r="AE32" s="267"/>
      <c r="AF32" s="267" t="e">
        <f>IF(AND('Mapa final'!#REF!="Baja",'Mapa final'!#REF!="Mayor"),CONCATENATE("R",'Mapa final'!#REF!),"")</f>
        <v>#REF!</v>
      </c>
      <c r="AG32" s="268"/>
      <c r="AH32" s="278" t="e">
        <f>IF(AND('Mapa final'!#REF!="Baja",'Mapa final'!#REF!="Catastrófico"),CONCATENATE("R",'Mapa final'!#REF!),"")</f>
        <v>#REF!</v>
      </c>
      <c r="AI32" s="279"/>
      <c r="AJ32" s="279" t="e">
        <f>IF(AND('Mapa final'!#REF!="Baja",'Mapa final'!#REF!="Catastrófico"),CONCATENATE("R",'Mapa final'!#REF!),"")</f>
        <v>#REF!</v>
      </c>
      <c r="AK32" s="279"/>
      <c r="AL32" s="279" t="e">
        <f>IF(AND('Mapa final'!#REF!="Baja",'Mapa final'!#REF!="Catastrófico"),CONCATENATE("R",'Mapa final'!#REF!),"")</f>
        <v>#REF!</v>
      </c>
      <c r="AM32" s="280"/>
      <c r="AN32" s="75"/>
      <c r="AO32" s="252"/>
      <c r="AP32" s="253"/>
      <c r="AQ32" s="253"/>
      <c r="AR32" s="253"/>
      <c r="AS32" s="253"/>
      <c r="AT32" s="254"/>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20"/>
      <c r="C33" s="220"/>
      <c r="D33" s="221"/>
      <c r="E33" s="261"/>
      <c r="F33" s="262"/>
      <c r="G33" s="262"/>
      <c r="H33" s="262"/>
      <c r="I33" s="262"/>
      <c r="J33" s="298"/>
      <c r="K33" s="296"/>
      <c r="L33" s="296"/>
      <c r="M33" s="296"/>
      <c r="N33" s="296"/>
      <c r="O33" s="297"/>
      <c r="P33" s="288"/>
      <c r="Q33" s="288"/>
      <c r="R33" s="288"/>
      <c r="S33" s="288"/>
      <c r="T33" s="288"/>
      <c r="U33" s="289"/>
      <c r="V33" s="287"/>
      <c r="W33" s="288"/>
      <c r="X33" s="288"/>
      <c r="Y33" s="288"/>
      <c r="Z33" s="288"/>
      <c r="AA33" s="289"/>
      <c r="AB33" s="271"/>
      <c r="AC33" s="267"/>
      <c r="AD33" s="267"/>
      <c r="AE33" s="267"/>
      <c r="AF33" s="267"/>
      <c r="AG33" s="268"/>
      <c r="AH33" s="278"/>
      <c r="AI33" s="279"/>
      <c r="AJ33" s="279"/>
      <c r="AK33" s="279"/>
      <c r="AL33" s="279"/>
      <c r="AM33" s="280"/>
      <c r="AN33" s="75"/>
      <c r="AO33" s="252"/>
      <c r="AP33" s="253"/>
      <c r="AQ33" s="253"/>
      <c r="AR33" s="253"/>
      <c r="AS33" s="253"/>
      <c r="AT33" s="254"/>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20"/>
      <c r="C34" s="220"/>
      <c r="D34" s="221"/>
      <c r="E34" s="261"/>
      <c r="F34" s="262"/>
      <c r="G34" s="262"/>
      <c r="H34" s="262"/>
      <c r="I34" s="262"/>
      <c r="J34" s="298" t="e">
        <f>IF(AND('Mapa final'!#REF!="Baja",'Mapa final'!#REF!="Leve"),CONCATENATE("R",'Mapa final'!#REF!),"")</f>
        <v>#REF!</v>
      </c>
      <c r="K34" s="296"/>
      <c r="L34" s="296" t="e">
        <f>IF(AND('Mapa final'!#REF!="Baja",'Mapa final'!#REF!="Leve"),CONCATENATE("R",'Mapa final'!#REF!),"")</f>
        <v>#REF!</v>
      </c>
      <c r="M34" s="296"/>
      <c r="N34" s="296" t="e">
        <f>IF(AND('Mapa final'!#REF!="Baja",'Mapa final'!#REF!="Leve"),CONCATENATE("R",'Mapa final'!#REF!),"")</f>
        <v>#REF!</v>
      </c>
      <c r="O34" s="297"/>
      <c r="P34" s="288" t="e">
        <f>IF(AND('Mapa final'!#REF!="Baja",'Mapa final'!#REF!="Menor"),CONCATENATE("R",'Mapa final'!#REF!),"")</f>
        <v>#REF!</v>
      </c>
      <c r="Q34" s="288"/>
      <c r="R34" s="288" t="e">
        <f>IF(AND('Mapa final'!#REF!="Baja",'Mapa final'!#REF!="Menor"),CONCATENATE("R",'Mapa final'!#REF!),"")</f>
        <v>#REF!</v>
      </c>
      <c r="S34" s="288"/>
      <c r="T34" s="288" t="e">
        <f>IF(AND('Mapa final'!#REF!="Baja",'Mapa final'!#REF!="Menor"),CONCATENATE("R",'Mapa final'!#REF!),"")</f>
        <v>#REF!</v>
      </c>
      <c r="U34" s="289"/>
      <c r="V34" s="287" t="e">
        <f>IF(AND('Mapa final'!#REF!="Baja",'Mapa final'!#REF!="Moderado"),CONCATENATE("R",'Mapa final'!#REF!),"")</f>
        <v>#REF!</v>
      </c>
      <c r="W34" s="288"/>
      <c r="X34" s="288" t="e">
        <f>IF(AND('Mapa final'!#REF!="Baja",'Mapa final'!#REF!="Moderado"),CONCATENATE("R",'Mapa final'!#REF!),"")</f>
        <v>#REF!</v>
      </c>
      <c r="Y34" s="288"/>
      <c r="Z34" s="288" t="e">
        <f>IF(AND('Mapa final'!#REF!="Baja",'Mapa final'!#REF!="Moderado"),CONCATENATE("R",'Mapa final'!#REF!),"")</f>
        <v>#REF!</v>
      </c>
      <c r="AA34" s="289"/>
      <c r="AB34" s="271" t="e">
        <f>IF(AND('Mapa final'!#REF!="Baja",'Mapa final'!#REF!="Mayor"),CONCATENATE("R",'Mapa final'!#REF!),"")</f>
        <v>#REF!</v>
      </c>
      <c r="AC34" s="267"/>
      <c r="AD34" s="267" t="e">
        <f>IF(AND('Mapa final'!#REF!="Baja",'Mapa final'!#REF!="Mayor"),CONCATENATE("R",'Mapa final'!#REF!),"")</f>
        <v>#REF!</v>
      </c>
      <c r="AE34" s="267"/>
      <c r="AF34" s="267" t="e">
        <f>IF(AND('Mapa final'!#REF!="Baja",'Mapa final'!#REF!="Mayor"),CONCATENATE("R",'Mapa final'!#REF!),"")</f>
        <v>#REF!</v>
      </c>
      <c r="AG34" s="268"/>
      <c r="AH34" s="278" t="e">
        <f>IF(AND('Mapa final'!#REF!="Baja",'Mapa final'!#REF!="Catastrófico"),CONCATENATE("R",'Mapa final'!#REF!),"")</f>
        <v>#REF!</v>
      </c>
      <c r="AI34" s="279"/>
      <c r="AJ34" s="279" t="e">
        <f>IF(AND('Mapa final'!#REF!="Baja",'Mapa final'!#REF!="Catastrófico"),CONCATENATE("R",'Mapa final'!#REF!),"")</f>
        <v>#REF!</v>
      </c>
      <c r="AK34" s="279"/>
      <c r="AL34" s="279" t="e">
        <f>IF(AND('Mapa final'!#REF!="Baja",'Mapa final'!#REF!="Catastrófico"),CONCATENATE("R",'Mapa final'!#REF!),"")</f>
        <v>#REF!</v>
      </c>
      <c r="AM34" s="280"/>
      <c r="AN34" s="75"/>
      <c r="AO34" s="252"/>
      <c r="AP34" s="253"/>
      <c r="AQ34" s="253"/>
      <c r="AR34" s="253"/>
      <c r="AS34" s="253"/>
      <c r="AT34" s="254"/>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20"/>
      <c r="C35" s="220"/>
      <c r="D35" s="221"/>
      <c r="E35" s="261"/>
      <c r="F35" s="262"/>
      <c r="G35" s="262"/>
      <c r="H35" s="262"/>
      <c r="I35" s="262"/>
      <c r="J35" s="298"/>
      <c r="K35" s="296"/>
      <c r="L35" s="296"/>
      <c r="M35" s="296"/>
      <c r="N35" s="296"/>
      <c r="O35" s="297"/>
      <c r="P35" s="288"/>
      <c r="Q35" s="288"/>
      <c r="R35" s="288"/>
      <c r="S35" s="288"/>
      <c r="T35" s="288"/>
      <c r="U35" s="289"/>
      <c r="V35" s="287"/>
      <c r="W35" s="288"/>
      <c r="X35" s="288"/>
      <c r="Y35" s="288"/>
      <c r="Z35" s="288"/>
      <c r="AA35" s="289"/>
      <c r="AB35" s="271"/>
      <c r="AC35" s="267"/>
      <c r="AD35" s="267"/>
      <c r="AE35" s="267"/>
      <c r="AF35" s="267"/>
      <c r="AG35" s="268"/>
      <c r="AH35" s="278"/>
      <c r="AI35" s="279"/>
      <c r="AJ35" s="279"/>
      <c r="AK35" s="279"/>
      <c r="AL35" s="279"/>
      <c r="AM35" s="280"/>
      <c r="AN35" s="75"/>
      <c r="AO35" s="252"/>
      <c r="AP35" s="253"/>
      <c r="AQ35" s="253"/>
      <c r="AR35" s="253"/>
      <c r="AS35" s="253"/>
      <c r="AT35" s="254"/>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20"/>
      <c r="C36" s="220"/>
      <c r="D36" s="221"/>
      <c r="E36" s="261"/>
      <c r="F36" s="262"/>
      <c r="G36" s="262"/>
      <c r="H36" s="262"/>
      <c r="I36" s="262"/>
      <c r="J36" s="298" t="e">
        <f>IF(AND('Mapa final'!#REF!="Baja",'Mapa final'!#REF!="Leve"),CONCATENATE("R",'Mapa final'!#REF!),"")</f>
        <v>#REF!</v>
      </c>
      <c r="K36" s="296"/>
      <c r="L36" s="296" t="str">
        <f>IF(AND('Mapa final'!$L$15="Baja",'Mapa final'!$P$15="Leve"),CONCATENATE("R",'Mapa final'!$A$15),"")</f>
        <v/>
      </c>
      <c r="M36" s="296"/>
      <c r="N36" s="296" t="str">
        <f>IF(AND('Mapa final'!$L$17="Baja",'Mapa final'!$P$17="Leve"),CONCATENATE("R",'Mapa final'!$A$17),"")</f>
        <v/>
      </c>
      <c r="O36" s="297"/>
      <c r="P36" s="288" t="e">
        <f>IF(AND('Mapa final'!#REF!="Baja",'Mapa final'!#REF!="Menor"),CONCATENATE("R",'Mapa final'!#REF!),"")</f>
        <v>#REF!</v>
      </c>
      <c r="Q36" s="288"/>
      <c r="R36" s="288" t="str">
        <f>IF(AND('Mapa final'!$L$15="Baja",'Mapa final'!$P$15="Menor"),CONCATENATE("R",'Mapa final'!$A$15),"")</f>
        <v/>
      </c>
      <c r="S36" s="288"/>
      <c r="T36" s="288" t="str">
        <f>IF(AND('Mapa final'!$L$17="Baja",'Mapa final'!$P$17="Menor"),CONCATENATE("R",'Mapa final'!$A$17),"")</f>
        <v/>
      </c>
      <c r="U36" s="289"/>
      <c r="V36" s="287" t="e">
        <f>IF(AND('Mapa final'!#REF!="Baja",'Mapa final'!#REF!="Moderado"),CONCATENATE("R",'Mapa final'!#REF!),"")</f>
        <v>#REF!</v>
      </c>
      <c r="W36" s="288"/>
      <c r="X36" s="288" t="str">
        <f>IF(AND('Mapa final'!$L$15="Baja",'Mapa final'!$P$15="Moderado"),CONCATENATE("R",'Mapa final'!$A$15),"")</f>
        <v/>
      </c>
      <c r="Y36" s="288"/>
      <c r="Z36" s="288" t="str">
        <f>IF(AND('Mapa final'!$L$17="Baja",'Mapa final'!$P$17="Moderado"),CONCATENATE("R",'Mapa final'!$A$17),"")</f>
        <v/>
      </c>
      <c r="AA36" s="289"/>
      <c r="AB36" s="271" t="e">
        <f>IF(AND('Mapa final'!#REF!="Baja",'Mapa final'!#REF!="Mayor"),CONCATENATE("R",'Mapa final'!#REF!),"")</f>
        <v>#REF!</v>
      </c>
      <c r="AC36" s="267"/>
      <c r="AD36" s="267" t="str">
        <f>IF(AND('Mapa final'!$L$15="Baja",'Mapa final'!$P$15="Mayor"),CONCATENATE("R",'Mapa final'!$A$15),"")</f>
        <v/>
      </c>
      <c r="AE36" s="267"/>
      <c r="AF36" s="267" t="str">
        <f>IF(AND('Mapa final'!$L$17="Baja",'Mapa final'!$P$17="Mayor"),CONCATENATE("R",'Mapa final'!$A$17),"")</f>
        <v/>
      </c>
      <c r="AG36" s="268"/>
      <c r="AH36" s="278" t="e">
        <f>IF(AND('Mapa final'!#REF!="Baja",'Mapa final'!#REF!="Catastrófico"),CONCATENATE("R",'Mapa final'!#REF!),"")</f>
        <v>#REF!</v>
      </c>
      <c r="AI36" s="279"/>
      <c r="AJ36" s="279" t="str">
        <f>IF(AND('Mapa final'!$L$15="Baja",'Mapa final'!$P$15="Catastrófico"),CONCATENATE("R",'Mapa final'!$A$15),"")</f>
        <v/>
      </c>
      <c r="AK36" s="279"/>
      <c r="AL36" s="279" t="str">
        <f>IF(AND('Mapa final'!$L$17="Baja",'Mapa final'!$P$17="Catastrófico"),CONCATENATE("R",'Mapa final'!$A$17),"")</f>
        <v/>
      </c>
      <c r="AM36" s="280"/>
      <c r="AN36" s="75"/>
      <c r="AO36" s="252"/>
      <c r="AP36" s="253"/>
      <c r="AQ36" s="253"/>
      <c r="AR36" s="253"/>
      <c r="AS36" s="253"/>
      <c r="AT36" s="254"/>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20"/>
      <c r="C37" s="220"/>
      <c r="D37" s="221"/>
      <c r="E37" s="264"/>
      <c r="F37" s="265"/>
      <c r="G37" s="265"/>
      <c r="H37" s="265"/>
      <c r="I37" s="265"/>
      <c r="J37" s="299"/>
      <c r="K37" s="300"/>
      <c r="L37" s="300"/>
      <c r="M37" s="300"/>
      <c r="N37" s="300"/>
      <c r="O37" s="301"/>
      <c r="P37" s="291"/>
      <c r="Q37" s="291"/>
      <c r="R37" s="291"/>
      <c r="S37" s="291"/>
      <c r="T37" s="291"/>
      <c r="U37" s="292"/>
      <c r="V37" s="290"/>
      <c r="W37" s="291"/>
      <c r="X37" s="291"/>
      <c r="Y37" s="291"/>
      <c r="Z37" s="291"/>
      <c r="AA37" s="292"/>
      <c r="AB37" s="275"/>
      <c r="AC37" s="276"/>
      <c r="AD37" s="276"/>
      <c r="AE37" s="276"/>
      <c r="AF37" s="276"/>
      <c r="AG37" s="277"/>
      <c r="AH37" s="281"/>
      <c r="AI37" s="282"/>
      <c r="AJ37" s="282"/>
      <c r="AK37" s="282"/>
      <c r="AL37" s="282"/>
      <c r="AM37" s="283"/>
      <c r="AN37" s="75"/>
      <c r="AO37" s="255"/>
      <c r="AP37" s="256"/>
      <c r="AQ37" s="256"/>
      <c r="AR37" s="256"/>
      <c r="AS37" s="256"/>
      <c r="AT37" s="257"/>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20"/>
      <c r="C38" s="220"/>
      <c r="D38" s="221"/>
      <c r="E38" s="258" t="s">
        <v>112</v>
      </c>
      <c r="F38" s="259"/>
      <c r="G38" s="259"/>
      <c r="H38" s="259"/>
      <c r="I38" s="260"/>
      <c r="J38" s="302" t="e">
        <f>IF(AND('Mapa final'!#REF!="Muy Baja",'Mapa final'!#REF!="Leve"),CONCATENATE("R",'Mapa final'!#REF!),"")</f>
        <v>#REF!</v>
      </c>
      <c r="K38" s="303"/>
      <c r="L38" s="303" t="str">
        <f>IF(AND('Mapa final'!$L$12="Muy Baja",'Mapa final'!$P$12="Leve"),CONCATENATE("R",'Mapa final'!$A$12),"")</f>
        <v/>
      </c>
      <c r="M38" s="303"/>
      <c r="N38" s="303" t="e">
        <f>IF(AND('Mapa final'!#REF!="Muy Baja",'Mapa final'!#REF!="Leve"),CONCATENATE("R",'Mapa final'!#REF!),"")</f>
        <v>#REF!</v>
      </c>
      <c r="O38" s="304"/>
      <c r="P38" s="302" t="e">
        <f>IF(AND('Mapa final'!#REF!="Muy Baja",'Mapa final'!#REF!="Menor"),CONCATENATE("R",'Mapa final'!#REF!),"")</f>
        <v>#REF!</v>
      </c>
      <c r="Q38" s="303"/>
      <c r="R38" s="303" t="str">
        <f>IF(AND('Mapa final'!$L$12="Muy Baja",'Mapa final'!$P$12="Menor"),CONCATENATE("R",'Mapa final'!$A$12),"")</f>
        <v/>
      </c>
      <c r="S38" s="303"/>
      <c r="T38" s="303" t="e">
        <f>IF(AND('Mapa final'!#REF!="Muy Baja",'Mapa final'!#REF!="Menor"),CONCATENATE("R",'Mapa final'!#REF!),"")</f>
        <v>#REF!</v>
      </c>
      <c r="U38" s="304"/>
      <c r="V38" s="293" t="e">
        <f>IF(AND('Mapa final'!#REF!="Muy Baja",'Mapa final'!#REF!="Moderado"),CONCATENATE("R",'Mapa final'!#REF!),"")</f>
        <v>#REF!</v>
      </c>
      <c r="W38" s="294"/>
      <c r="X38" s="294" t="str">
        <f>IF(AND('Mapa final'!$L$12="Muy Baja",'Mapa final'!$P$12="Moderado"),CONCATENATE("R",'Mapa final'!$A$12),"")</f>
        <v/>
      </c>
      <c r="Y38" s="294"/>
      <c r="Z38" s="294" t="e">
        <f>IF(AND('Mapa final'!#REF!="Muy Baja",'Mapa final'!#REF!="Moderado"),CONCATENATE("R",'Mapa final'!#REF!),"")</f>
        <v>#REF!</v>
      </c>
      <c r="AA38" s="295"/>
      <c r="AB38" s="269" t="e">
        <f>IF(AND('Mapa final'!#REF!="Muy Baja",'Mapa final'!#REF!="Mayor"),CONCATENATE("R",'Mapa final'!#REF!),"")</f>
        <v>#REF!</v>
      </c>
      <c r="AC38" s="270"/>
      <c r="AD38" s="270" t="str">
        <f>IF(AND('Mapa final'!$L$12="Muy Baja",'Mapa final'!$P$12="Mayor"),CONCATENATE("R",'Mapa final'!$A$12),"")</f>
        <v/>
      </c>
      <c r="AE38" s="270"/>
      <c r="AF38" s="270" t="e">
        <f>IF(AND('Mapa final'!#REF!="Muy Baja",'Mapa final'!#REF!="Mayor"),CONCATENATE("R",'Mapa final'!#REF!),"")</f>
        <v>#REF!</v>
      </c>
      <c r="AG38" s="272"/>
      <c r="AH38" s="284" t="e">
        <f>IF(AND('Mapa final'!#REF!="Muy Baja",'Mapa final'!#REF!="Catastrófico"),CONCATENATE("R",'Mapa final'!#REF!),"")</f>
        <v>#REF!</v>
      </c>
      <c r="AI38" s="285"/>
      <c r="AJ38" s="285" t="str">
        <f>IF(AND('Mapa final'!$L$12="Muy Baja",'Mapa final'!$P$12="Catastrófico"),CONCATENATE("R",'Mapa final'!$A$12),"")</f>
        <v/>
      </c>
      <c r="AK38" s="285"/>
      <c r="AL38" s="285" t="e">
        <f>IF(AND('Mapa final'!#REF!="Muy Baja",'Mapa final'!#REF!="Catastrófico"),CONCATENATE("R",'Mapa final'!#REF!),"")</f>
        <v>#REF!</v>
      </c>
      <c r="AM38" s="286"/>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20"/>
      <c r="C39" s="220"/>
      <c r="D39" s="221"/>
      <c r="E39" s="261"/>
      <c r="F39" s="262"/>
      <c r="G39" s="262"/>
      <c r="H39" s="262"/>
      <c r="I39" s="263"/>
      <c r="J39" s="298"/>
      <c r="K39" s="296"/>
      <c r="L39" s="296"/>
      <c r="M39" s="296"/>
      <c r="N39" s="296"/>
      <c r="O39" s="297"/>
      <c r="P39" s="298"/>
      <c r="Q39" s="296"/>
      <c r="R39" s="296"/>
      <c r="S39" s="296"/>
      <c r="T39" s="296"/>
      <c r="U39" s="297"/>
      <c r="V39" s="287"/>
      <c r="W39" s="288"/>
      <c r="X39" s="288"/>
      <c r="Y39" s="288"/>
      <c r="Z39" s="288"/>
      <c r="AA39" s="289"/>
      <c r="AB39" s="271"/>
      <c r="AC39" s="267"/>
      <c r="AD39" s="267"/>
      <c r="AE39" s="267"/>
      <c r="AF39" s="267"/>
      <c r="AG39" s="268"/>
      <c r="AH39" s="278"/>
      <c r="AI39" s="279"/>
      <c r="AJ39" s="279"/>
      <c r="AK39" s="279"/>
      <c r="AL39" s="279"/>
      <c r="AM39" s="280"/>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20"/>
      <c r="C40" s="220"/>
      <c r="D40" s="221"/>
      <c r="E40" s="261"/>
      <c r="F40" s="262"/>
      <c r="G40" s="262"/>
      <c r="H40" s="262"/>
      <c r="I40" s="263"/>
      <c r="J40" s="298" t="e">
        <f>IF(AND('Mapa final'!#REF!="Muy Baja",'Mapa final'!#REF!="Leve"),CONCATENATE("R",'Mapa final'!#REF!),"")</f>
        <v>#REF!</v>
      </c>
      <c r="K40" s="296"/>
      <c r="L40" s="296" t="e">
        <f>IF(AND('Mapa final'!#REF!="Muy Baja",'Mapa final'!#REF!="Leve"),CONCATENATE("R",'Mapa final'!#REF!),"")</f>
        <v>#REF!</v>
      </c>
      <c r="M40" s="296"/>
      <c r="N40" s="296" t="e">
        <f>IF(AND('Mapa final'!#REF!="Muy Baja",'Mapa final'!#REF!="Leve"),CONCATENATE("R",'Mapa final'!#REF!),"")</f>
        <v>#REF!</v>
      </c>
      <c r="O40" s="297"/>
      <c r="P40" s="298" t="e">
        <f>IF(AND('Mapa final'!#REF!="Muy Baja",'Mapa final'!#REF!="Menor"),CONCATENATE("R",'Mapa final'!#REF!),"")</f>
        <v>#REF!</v>
      </c>
      <c r="Q40" s="296"/>
      <c r="R40" s="296" t="e">
        <f>IF(AND('Mapa final'!#REF!="Muy Baja",'Mapa final'!#REF!="Menor"),CONCATENATE("R",'Mapa final'!#REF!),"")</f>
        <v>#REF!</v>
      </c>
      <c r="S40" s="296"/>
      <c r="T40" s="296" t="e">
        <f>IF(AND('Mapa final'!#REF!="Muy Baja",'Mapa final'!#REF!="Menor"),CONCATENATE("R",'Mapa final'!#REF!),"")</f>
        <v>#REF!</v>
      </c>
      <c r="U40" s="297"/>
      <c r="V40" s="287" t="e">
        <f>IF(AND('Mapa final'!#REF!="Muy Baja",'Mapa final'!#REF!="Moderado"),CONCATENATE("R",'Mapa final'!#REF!),"")</f>
        <v>#REF!</v>
      </c>
      <c r="W40" s="288"/>
      <c r="X40" s="288" t="e">
        <f>IF(AND('Mapa final'!#REF!="Muy Baja",'Mapa final'!#REF!="Moderado"),CONCATENATE("R",'Mapa final'!#REF!),"")</f>
        <v>#REF!</v>
      </c>
      <c r="Y40" s="288"/>
      <c r="Z40" s="288" t="e">
        <f>IF(AND('Mapa final'!#REF!="Muy Baja",'Mapa final'!#REF!="Moderado"),CONCATENATE("R",'Mapa final'!#REF!),"")</f>
        <v>#REF!</v>
      </c>
      <c r="AA40" s="289"/>
      <c r="AB40" s="271" t="e">
        <f>IF(AND('Mapa final'!#REF!="Muy Baja",'Mapa final'!#REF!="Mayor"),CONCATENATE("R",'Mapa final'!#REF!),"")</f>
        <v>#REF!</v>
      </c>
      <c r="AC40" s="267"/>
      <c r="AD40" s="267" t="e">
        <f>IF(AND('Mapa final'!#REF!="Muy Baja",'Mapa final'!#REF!="Mayor"),CONCATENATE("R",'Mapa final'!#REF!),"")</f>
        <v>#REF!</v>
      </c>
      <c r="AE40" s="267"/>
      <c r="AF40" s="267" t="e">
        <f>IF(AND('Mapa final'!#REF!="Muy Baja",'Mapa final'!#REF!="Mayor"),CONCATENATE("R",'Mapa final'!#REF!),"")</f>
        <v>#REF!</v>
      </c>
      <c r="AG40" s="268"/>
      <c r="AH40" s="278" t="e">
        <f>IF(AND('Mapa final'!#REF!="Muy Baja",'Mapa final'!#REF!="Catastrófico"),CONCATENATE("R",'Mapa final'!#REF!),"")</f>
        <v>#REF!</v>
      </c>
      <c r="AI40" s="279"/>
      <c r="AJ40" s="279" t="e">
        <f>IF(AND('Mapa final'!#REF!="Muy Baja",'Mapa final'!#REF!="Catastrófico"),CONCATENATE("R",'Mapa final'!#REF!),"")</f>
        <v>#REF!</v>
      </c>
      <c r="AK40" s="279"/>
      <c r="AL40" s="279" t="e">
        <f>IF(AND('Mapa final'!#REF!="Muy Baja",'Mapa final'!#REF!="Catastrófico"),CONCATENATE("R",'Mapa final'!#REF!),"")</f>
        <v>#REF!</v>
      </c>
      <c r="AM40" s="280"/>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20"/>
      <c r="C41" s="220"/>
      <c r="D41" s="221"/>
      <c r="E41" s="261"/>
      <c r="F41" s="262"/>
      <c r="G41" s="262"/>
      <c r="H41" s="262"/>
      <c r="I41" s="263"/>
      <c r="J41" s="298"/>
      <c r="K41" s="296"/>
      <c r="L41" s="296"/>
      <c r="M41" s="296"/>
      <c r="N41" s="296"/>
      <c r="O41" s="297"/>
      <c r="P41" s="298"/>
      <c r="Q41" s="296"/>
      <c r="R41" s="296"/>
      <c r="S41" s="296"/>
      <c r="T41" s="296"/>
      <c r="U41" s="297"/>
      <c r="V41" s="287"/>
      <c r="W41" s="288"/>
      <c r="X41" s="288"/>
      <c r="Y41" s="288"/>
      <c r="Z41" s="288"/>
      <c r="AA41" s="289"/>
      <c r="AB41" s="271"/>
      <c r="AC41" s="267"/>
      <c r="AD41" s="267"/>
      <c r="AE41" s="267"/>
      <c r="AF41" s="267"/>
      <c r="AG41" s="268"/>
      <c r="AH41" s="278"/>
      <c r="AI41" s="279"/>
      <c r="AJ41" s="279"/>
      <c r="AK41" s="279"/>
      <c r="AL41" s="279"/>
      <c r="AM41" s="280"/>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20"/>
      <c r="C42" s="220"/>
      <c r="D42" s="221"/>
      <c r="E42" s="261"/>
      <c r="F42" s="262"/>
      <c r="G42" s="262"/>
      <c r="H42" s="262"/>
      <c r="I42" s="263"/>
      <c r="J42" s="298" t="e">
        <f>IF(AND('Mapa final'!#REF!="Muy Baja",'Mapa final'!#REF!="Leve"),CONCATENATE("R",'Mapa final'!#REF!),"")</f>
        <v>#REF!</v>
      </c>
      <c r="K42" s="296"/>
      <c r="L42" s="296" t="e">
        <f>IF(AND('Mapa final'!#REF!="Muy Baja",'Mapa final'!#REF!="Leve"),CONCATENATE("R",'Mapa final'!#REF!),"")</f>
        <v>#REF!</v>
      </c>
      <c r="M42" s="296"/>
      <c r="N42" s="296" t="e">
        <f>IF(AND('Mapa final'!#REF!="Muy Baja",'Mapa final'!#REF!="Leve"),CONCATENATE("R",'Mapa final'!#REF!),"")</f>
        <v>#REF!</v>
      </c>
      <c r="O42" s="297"/>
      <c r="P42" s="298" t="e">
        <f>IF(AND('Mapa final'!#REF!="Muy Baja",'Mapa final'!#REF!="Menor"),CONCATENATE("R",'Mapa final'!#REF!),"")</f>
        <v>#REF!</v>
      </c>
      <c r="Q42" s="296"/>
      <c r="R42" s="296" t="e">
        <f>IF(AND('Mapa final'!#REF!="Muy Baja",'Mapa final'!#REF!="Menor"),CONCATENATE("R",'Mapa final'!#REF!),"")</f>
        <v>#REF!</v>
      </c>
      <c r="S42" s="296"/>
      <c r="T42" s="296" t="e">
        <f>IF(AND('Mapa final'!#REF!="Muy Baja",'Mapa final'!#REF!="Menor"),CONCATENATE("R",'Mapa final'!#REF!),"")</f>
        <v>#REF!</v>
      </c>
      <c r="U42" s="297"/>
      <c r="V42" s="287" t="e">
        <f>IF(AND('Mapa final'!#REF!="Muy Baja",'Mapa final'!#REF!="Moderado"),CONCATENATE("R",'Mapa final'!#REF!),"")</f>
        <v>#REF!</v>
      </c>
      <c r="W42" s="288"/>
      <c r="X42" s="288" t="e">
        <f>IF(AND('Mapa final'!#REF!="Muy Baja",'Mapa final'!#REF!="Moderado"),CONCATENATE("R",'Mapa final'!#REF!),"")</f>
        <v>#REF!</v>
      </c>
      <c r="Y42" s="288"/>
      <c r="Z42" s="288" t="e">
        <f>IF(AND('Mapa final'!#REF!="Muy Baja",'Mapa final'!#REF!="Moderado"),CONCATENATE("R",'Mapa final'!#REF!),"")</f>
        <v>#REF!</v>
      </c>
      <c r="AA42" s="289"/>
      <c r="AB42" s="271" t="e">
        <f>IF(AND('Mapa final'!#REF!="Muy Baja",'Mapa final'!#REF!="Mayor"),CONCATENATE("R",'Mapa final'!#REF!),"")</f>
        <v>#REF!</v>
      </c>
      <c r="AC42" s="267"/>
      <c r="AD42" s="267" t="e">
        <f>IF(AND('Mapa final'!#REF!="Muy Baja",'Mapa final'!#REF!="Mayor"),CONCATENATE("R",'Mapa final'!#REF!),"")</f>
        <v>#REF!</v>
      </c>
      <c r="AE42" s="267"/>
      <c r="AF42" s="267" t="e">
        <f>IF(AND('Mapa final'!#REF!="Muy Baja",'Mapa final'!#REF!="Mayor"),CONCATENATE("R",'Mapa final'!#REF!),"")</f>
        <v>#REF!</v>
      </c>
      <c r="AG42" s="268"/>
      <c r="AH42" s="278" t="e">
        <f>IF(AND('Mapa final'!#REF!="Muy Baja",'Mapa final'!#REF!="Catastrófico"),CONCATENATE("R",'Mapa final'!#REF!),"")</f>
        <v>#REF!</v>
      </c>
      <c r="AI42" s="279"/>
      <c r="AJ42" s="279" t="e">
        <f>IF(AND('Mapa final'!#REF!="Muy Baja",'Mapa final'!#REF!="Catastrófico"),CONCATENATE("R",'Mapa final'!#REF!),"")</f>
        <v>#REF!</v>
      </c>
      <c r="AK42" s="279"/>
      <c r="AL42" s="279" t="e">
        <f>IF(AND('Mapa final'!#REF!="Muy Baja",'Mapa final'!#REF!="Catastrófico"),CONCATENATE("R",'Mapa final'!#REF!),"")</f>
        <v>#REF!</v>
      </c>
      <c r="AM42" s="280"/>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20"/>
      <c r="C43" s="220"/>
      <c r="D43" s="221"/>
      <c r="E43" s="261"/>
      <c r="F43" s="262"/>
      <c r="G43" s="262"/>
      <c r="H43" s="262"/>
      <c r="I43" s="263"/>
      <c r="J43" s="298"/>
      <c r="K43" s="296"/>
      <c r="L43" s="296"/>
      <c r="M43" s="296"/>
      <c r="N43" s="296"/>
      <c r="O43" s="297"/>
      <c r="P43" s="298"/>
      <c r="Q43" s="296"/>
      <c r="R43" s="296"/>
      <c r="S43" s="296"/>
      <c r="T43" s="296"/>
      <c r="U43" s="297"/>
      <c r="V43" s="287"/>
      <c r="W43" s="288"/>
      <c r="X43" s="288"/>
      <c r="Y43" s="288"/>
      <c r="Z43" s="288"/>
      <c r="AA43" s="289"/>
      <c r="AB43" s="271"/>
      <c r="AC43" s="267"/>
      <c r="AD43" s="267"/>
      <c r="AE43" s="267"/>
      <c r="AF43" s="267"/>
      <c r="AG43" s="268"/>
      <c r="AH43" s="278"/>
      <c r="AI43" s="279"/>
      <c r="AJ43" s="279"/>
      <c r="AK43" s="279"/>
      <c r="AL43" s="279"/>
      <c r="AM43" s="280"/>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20"/>
      <c r="C44" s="220"/>
      <c r="D44" s="221"/>
      <c r="E44" s="261"/>
      <c r="F44" s="262"/>
      <c r="G44" s="262"/>
      <c r="H44" s="262"/>
      <c r="I44" s="263"/>
      <c r="J44" s="298" t="e">
        <f>IF(AND('Mapa final'!#REF!="Muy Baja",'Mapa final'!#REF!="Leve"),CONCATENATE("R",'Mapa final'!#REF!),"")</f>
        <v>#REF!</v>
      </c>
      <c r="K44" s="296"/>
      <c r="L44" s="296" t="str">
        <f>IF(AND('Mapa final'!$L$15="Muy Baja",'Mapa final'!$P$15="Leve"),CONCATENATE("R",'Mapa final'!$A$15),"")</f>
        <v/>
      </c>
      <c r="M44" s="296"/>
      <c r="N44" s="296" t="str">
        <f>IF(AND('Mapa final'!$L$17="Muy Baja",'Mapa final'!$P$17="Leve"),CONCATENATE("R",'Mapa final'!$A$17),"")</f>
        <v/>
      </c>
      <c r="O44" s="297"/>
      <c r="P44" s="298" t="e">
        <f>IF(AND('Mapa final'!#REF!="Muy Baja",'Mapa final'!#REF!="Menor"),CONCATENATE("R",'Mapa final'!#REF!),"")</f>
        <v>#REF!</v>
      </c>
      <c r="Q44" s="296"/>
      <c r="R44" s="296" t="str">
        <f>IF(AND('Mapa final'!$L$15="Muy Baja",'Mapa final'!$P$15="Menor"),CONCATENATE("R",'Mapa final'!$A$15),"")</f>
        <v/>
      </c>
      <c r="S44" s="296"/>
      <c r="T44" s="296" t="str">
        <f>IF(AND('Mapa final'!$L$17="Muy Baja",'Mapa final'!$P$17="Menor"),CONCATENATE("R",'Mapa final'!$A$17),"")</f>
        <v/>
      </c>
      <c r="U44" s="297"/>
      <c r="V44" s="287" t="e">
        <f>IF(AND('Mapa final'!#REF!="Muy Baja",'Mapa final'!#REF!="Moderado"),CONCATENATE("R",'Mapa final'!#REF!),"")</f>
        <v>#REF!</v>
      </c>
      <c r="W44" s="288"/>
      <c r="X44" s="288" t="str">
        <f>IF(AND('Mapa final'!$L$15="Muy Baja",'Mapa final'!$P$15="Moderado"),CONCATENATE("R",'Mapa final'!$A$15),"")</f>
        <v/>
      </c>
      <c r="Y44" s="288"/>
      <c r="Z44" s="288" t="str">
        <f>IF(AND('Mapa final'!$L$17="Muy Baja",'Mapa final'!$P$17="Moderado"),CONCATENATE("R",'Mapa final'!$A$17),"")</f>
        <v/>
      </c>
      <c r="AA44" s="289"/>
      <c r="AB44" s="271" t="e">
        <f>IF(AND('Mapa final'!#REF!="Muy Baja",'Mapa final'!#REF!="Mayor"),CONCATENATE("R",'Mapa final'!#REF!),"")</f>
        <v>#REF!</v>
      </c>
      <c r="AC44" s="267"/>
      <c r="AD44" s="267" t="str">
        <f>IF(AND('Mapa final'!$L$15="Muy Baja",'Mapa final'!$P$15="Mayor"),CONCATENATE("R",'Mapa final'!$A$15),"")</f>
        <v/>
      </c>
      <c r="AE44" s="267"/>
      <c r="AF44" s="267" t="str">
        <f>IF(AND('Mapa final'!$L$17="Muy Baja",'Mapa final'!$P$17="Mayor"),CONCATENATE("R",'Mapa final'!$A$17),"")</f>
        <v/>
      </c>
      <c r="AG44" s="268"/>
      <c r="AH44" s="278" t="e">
        <f>IF(AND('Mapa final'!#REF!="Muy Baja",'Mapa final'!#REF!="Catastrófico"),CONCATENATE("R",'Mapa final'!#REF!),"")</f>
        <v>#REF!</v>
      </c>
      <c r="AI44" s="279"/>
      <c r="AJ44" s="279" t="str">
        <f>IF(AND('Mapa final'!$L$15="Muy Baja",'Mapa final'!$P$15="Catastrófico"),CONCATENATE("R",'Mapa final'!$A$15),"")</f>
        <v/>
      </c>
      <c r="AK44" s="279"/>
      <c r="AL44" s="279" t="str">
        <f>IF(AND('Mapa final'!$L$17="Muy Baja",'Mapa final'!$P$17="Catastrófico"),CONCATENATE("R",'Mapa final'!$A$17),"")</f>
        <v/>
      </c>
      <c r="AM44" s="280"/>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20"/>
      <c r="C45" s="220"/>
      <c r="D45" s="221"/>
      <c r="E45" s="264"/>
      <c r="F45" s="265"/>
      <c r="G45" s="265"/>
      <c r="H45" s="265"/>
      <c r="I45" s="266"/>
      <c r="J45" s="299"/>
      <c r="K45" s="300"/>
      <c r="L45" s="300"/>
      <c r="M45" s="300"/>
      <c r="N45" s="300"/>
      <c r="O45" s="301"/>
      <c r="P45" s="299"/>
      <c r="Q45" s="300"/>
      <c r="R45" s="300"/>
      <c r="S45" s="300"/>
      <c r="T45" s="300"/>
      <c r="U45" s="301"/>
      <c r="V45" s="290"/>
      <c r="W45" s="291"/>
      <c r="X45" s="291"/>
      <c r="Y45" s="291"/>
      <c r="Z45" s="291"/>
      <c r="AA45" s="292"/>
      <c r="AB45" s="275"/>
      <c r="AC45" s="276"/>
      <c r="AD45" s="276"/>
      <c r="AE45" s="276"/>
      <c r="AF45" s="276"/>
      <c r="AG45" s="277"/>
      <c r="AH45" s="281"/>
      <c r="AI45" s="282"/>
      <c r="AJ45" s="282"/>
      <c r="AK45" s="282"/>
      <c r="AL45" s="282"/>
      <c r="AM45" s="283"/>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58" t="s">
        <v>111</v>
      </c>
      <c r="K46" s="259"/>
      <c r="L46" s="259"/>
      <c r="M46" s="259"/>
      <c r="N46" s="259"/>
      <c r="O46" s="260"/>
      <c r="P46" s="258" t="s">
        <v>110</v>
      </c>
      <c r="Q46" s="259"/>
      <c r="R46" s="259"/>
      <c r="S46" s="259"/>
      <c r="T46" s="259"/>
      <c r="U46" s="260"/>
      <c r="V46" s="258" t="s">
        <v>109</v>
      </c>
      <c r="W46" s="259"/>
      <c r="X46" s="259"/>
      <c r="Y46" s="259"/>
      <c r="Z46" s="259"/>
      <c r="AA46" s="260"/>
      <c r="AB46" s="258" t="s">
        <v>108</v>
      </c>
      <c r="AC46" s="274"/>
      <c r="AD46" s="259"/>
      <c r="AE46" s="259"/>
      <c r="AF46" s="259"/>
      <c r="AG46" s="260"/>
      <c r="AH46" s="258" t="s">
        <v>107</v>
      </c>
      <c r="AI46" s="259"/>
      <c r="AJ46" s="259"/>
      <c r="AK46" s="259"/>
      <c r="AL46" s="259"/>
      <c r="AM46" s="260"/>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61"/>
      <c r="K47" s="262"/>
      <c r="L47" s="262"/>
      <c r="M47" s="262"/>
      <c r="N47" s="262"/>
      <c r="O47" s="263"/>
      <c r="P47" s="261"/>
      <c r="Q47" s="262"/>
      <c r="R47" s="262"/>
      <c r="S47" s="262"/>
      <c r="T47" s="262"/>
      <c r="U47" s="263"/>
      <c r="V47" s="261"/>
      <c r="W47" s="262"/>
      <c r="X47" s="262"/>
      <c r="Y47" s="262"/>
      <c r="Z47" s="262"/>
      <c r="AA47" s="263"/>
      <c r="AB47" s="261"/>
      <c r="AC47" s="262"/>
      <c r="AD47" s="262"/>
      <c r="AE47" s="262"/>
      <c r="AF47" s="262"/>
      <c r="AG47" s="263"/>
      <c r="AH47" s="261"/>
      <c r="AI47" s="262"/>
      <c r="AJ47" s="262"/>
      <c r="AK47" s="262"/>
      <c r="AL47" s="262"/>
      <c r="AM47" s="263"/>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61"/>
      <c r="K48" s="262"/>
      <c r="L48" s="262"/>
      <c r="M48" s="262"/>
      <c r="N48" s="262"/>
      <c r="O48" s="263"/>
      <c r="P48" s="261"/>
      <c r="Q48" s="262"/>
      <c r="R48" s="262"/>
      <c r="S48" s="262"/>
      <c r="T48" s="262"/>
      <c r="U48" s="263"/>
      <c r="V48" s="261"/>
      <c r="W48" s="262"/>
      <c r="X48" s="262"/>
      <c r="Y48" s="262"/>
      <c r="Z48" s="262"/>
      <c r="AA48" s="263"/>
      <c r="AB48" s="261"/>
      <c r="AC48" s="262"/>
      <c r="AD48" s="262"/>
      <c r="AE48" s="262"/>
      <c r="AF48" s="262"/>
      <c r="AG48" s="263"/>
      <c r="AH48" s="261"/>
      <c r="AI48" s="262"/>
      <c r="AJ48" s="262"/>
      <c r="AK48" s="262"/>
      <c r="AL48" s="262"/>
      <c r="AM48" s="263"/>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61"/>
      <c r="K49" s="262"/>
      <c r="L49" s="262"/>
      <c r="M49" s="262"/>
      <c r="N49" s="262"/>
      <c r="O49" s="263"/>
      <c r="P49" s="261"/>
      <c r="Q49" s="262"/>
      <c r="R49" s="262"/>
      <c r="S49" s="262"/>
      <c r="T49" s="262"/>
      <c r="U49" s="263"/>
      <c r="V49" s="261"/>
      <c r="W49" s="262"/>
      <c r="X49" s="262"/>
      <c r="Y49" s="262"/>
      <c r="Z49" s="262"/>
      <c r="AA49" s="263"/>
      <c r="AB49" s="261"/>
      <c r="AC49" s="262"/>
      <c r="AD49" s="262"/>
      <c r="AE49" s="262"/>
      <c r="AF49" s="262"/>
      <c r="AG49" s="263"/>
      <c r="AH49" s="261"/>
      <c r="AI49" s="262"/>
      <c r="AJ49" s="262"/>
      <c r="AK49" s="262"/>
      <c r="AL49" s="262"/>
      <c r="AM49" s="263"/>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61"/>
      <c r="K50" s="262"/>
      <c r="L50" s="262"/>
      <c r="M50" s="262"/>
      <c r="N50" s="262"/>
      <c r="O50" s="263"/>
      <c r="P50" s="261"/>
      <c r="Q50" s="262"/>
      <c r="R50" s="262"/>
      <c r="S50" s="262"/>
      <c r="T50" s="262"/>
      <c r="U50" s="263"/>
      <c r="V50" s="261"/>
      <c r="W50" s="262"/>
      <c r="X50" s="262"/>
      <c r="Y50" s="262"/>
      <c r="Z50" s="262"/>
      <c r="AA50" s="263"/>
      <c r="AB50" s="261"/>
      <c r="AC50" s="262"/>
      <c r="AD50" s="262"/>
      <c r="AE50" s="262"/>
      <c r="AF50" s="262"/>
      <c r="AG50" s="263"/>
      <c r="AH50" s="261"/>
      <c r="AI50" s="262"/>
      <c r="AJ50" s="262"/>
      <c r="AK50" s="262"/>
      <c r="AL50" s="262"/>
      <c r="AM50" s="263"/>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64"/>
      <c r="K51" s="265"/>
      <c r="L51" s="265"/>
      <c r="M51" s="265"/>
      <c r="N51" s="265"/>
      <c r="O51" s="266"/>
      <c r="P51" s="264"/>
      <c r="Q51" s="265"/>
      <c r="R51" s="265"/>
      <c r="S51" s="265"/>
      <c r="T51" s="265"/>
      <c r="U51" s="266"/>
      <c r="V51" s="264"/>
      <c r="W51" s="265"/>
      <c r="X51" s="265"/>
      <c r="Y51" s="265"/>
      <c r="Z51" s="265"/>
      <c r="AA51" s="266"/>
      <c r="AB51" s="264"/>
      <c r="AC51" s="265"/>
      <c r="AD51" s="265"/>
      <c r="AE51" s="265"/>
      <c r="AF51" s="265"/>
      <c r="AG51" s="266"/>
      <c r="AH51" s="264"/>
      <c r="AI51" s="265"/>
      <c r="AJ51" s="265"/>
      <c r="AK51" s="265"/>
      <c r="AL51" s="265"/>
      <c r="AM51" s="266"/>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31" t="s">
        <v>157</v>
      </c>
      <c r="C2" s="332"/>
      <c r="D2" s="332"/>
      <c r="E2" s="332"/>
      <c r="F2" s="332"/>
      <c r="G2" s="332"/>
      <c r="H2" s="332"/>
      <c r="I2" s="332"/>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32"/>
      <c r="C3" s="332"/>
      <c r="D3" s="332"/>
      <c r="E3" s="332"/>
      <c r="F3" s="332"/>
      <c r="G3" s="332"/>
      <c r="H3" s="332"/>
      <c r="I3" s="332"/>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32"/>
      <c r="C4" s="332"/>
      <c r="D4" s="332"/>
      <c r="E4" s="332"/>
      <c r="F4" s="332"/>
      <c r="G4" s="332"/>
      <c r="H4" s="332"/>
      <c r="I4" s="332"/>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20" t="s">
        <v>4</v>
      </c>
      <c r="C6" s="220"/>
      <c r="D6" s="221"/>
      <c r="E6" s="315" t="s">
        <v>115</v>
      </c>
      <c r="F6" s="316"/>
      <c r="G6" s="316"/>
      <c r="H6" s="316"/>
      <c r="I6" s="333"/>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22" t="s">
        <v>78</v>
      </c>
      <c r="AP6" s="323"/>
      <c r="AQ6" s="323"/>
      <c r="AR6" s="323"/>
      <c r="AS6" s="323"/>
      <c r="AT6" s="324"/>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20"/>
      <c r="C7" s="220"/>
      <c r="D7" s="221"/>
      <c r="E7" s="319"/>
      <c r="F7" s="318"/>
      <c r="G7" s="318"/>
      <c r="H7" s="318"/>
      <c r="I7" s="334"/>
      <c r="J7" s="44" t="str">
        <f>IF(AND('Mapa final'!$AD$12="Muy Alta",'Mapa final'!$AF$12="Leve"),CONCATENATE("R2C",'Mapa final'!$S$12),"")</f>
        <v/>
      </c>
      <c r="K7" s="45" t="str">
        <f>IF(AND('Mapa final'!$AD$13="Muy Alta",'Mapa final'!$AF$13="Leve"),CONCATENATE("R2C",'Mapa final'!$S$13),"")</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final'!$AD$12="Muy Alta",'Mapa final'!$AF$12="Menor"),CONCATENATE("R2C",'Mapa final'!$S$12),"")</f>
        <v/>
      </c>
      <c r="Q7" s="45" t="str">
        <f>IF(AND('Mapa final'!$AD$13="Muy Alta",'Mapa final'!$AF$13="Menor"),CONCATENATE("R2C",'Mapa final'!$S$13),"")</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final'!$AD$12="Muy Alta",'Mapa final'!$AF$12="Moderado"),CONCATENATE("R2C",'Mapa final'!$S$12),"")</f>
        <v/>
      </c>
      <c r="W7" s="45" t="str">
        <f>IF(AND('Mapa final'!$AD$13="Muy Alta",'Mapa final'!$AF$13="Moderado"),CONCATENATE("R2C",'Mapa final'!$S$13),"")</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final'!$AD$12="Muy Alta",'Mapa final'!$AF$12="Mayor"),CONCATENATE("R2C",'Mapa final'!$S$12),"")</f>
        <v/>
      </c>
      <c r="AC7" s="45" t="str">
        <f>IF(AND('Mapa final'!$AD$13="Muy Alta",'Mapa final'!$AF$13="Mayor"),CONCATENATE("R2C",'Mapa final'!$S$13),"")</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final'!$AD$12="Muy Alta",'Mapa final'!$AF$12="Catastrófico"),CONCATENATE("R2C",'Mapa final'!$S$12),"")</f>
        <v/>
      </c>
      <c r="AI7" s="48" t="str">
        <f>IF(AND('Mapa final'!$AD$13="Muy Alta",'Mapa final'!$AF$13="Catastrófico"),CONCATENATE("R2C",'Mapa final'!$S$13),"")</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25"/>
      <c r="AP7" s="326"/>
      <c r="AQ7" s="326"/>
      <c r="AR7" s="326"/>
      <c r="AS7" s="326"/>
      <c r="AT7" s="327"/>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20"/>
      <c r="C8" s="220"/>
      <c r="D8" s="221"/>
      <c r="E8" s="319"/>
      <c r="F8" s="318"/>
      <c r="G8" s="318"/>
      <c r="H8" s="318"/>
      <c r="I8" s="334"/>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25"/>
      <c r="AP8" s="326"/>
      <c r="AQ8" s="326"/>
      <c r="AR8" s="326"/>
      <c r="AS8" s="326"/>
      <c r="AT8" s="327"/>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20"/>
      <c r="C9" s="220"/>
      <c r="D9" s="221"/>
      <c r="E9" s="319"/>
      <c r="F9" s="318"/>
      <c r="G9" s="318"/>
      <c r="H9" s="318"/>
      <c r="I9" s="334"/>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25"/>
      <c r="AP9" s="326"/>
      <c r="AQ9" s="326"/>
      <c r="AR9" s="326"/>
      <c r="AS9" s="326"/>
      <c r="AT9" s="327"/>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20"/>
      <c r="C10" s="220"/>
      <c r="D10" s="221"/>
      <c r="E10" s="319"/>
      <c r="F10" s="318"/>
      <c r="G10" s="318"/>
      <c r="H10" s="318"/>
      <c r="I10" s="334"/>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25"/>
      <c r="AP10" s="326"/>
      <c r="AQ10" s="326"/>
      <c r="AR10" s="326"/>
      <c r="AS10" s="326"/>
      <c r="AT10" s="327"/>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20"/>
      <c r="C11" s="220"/>
      <c r="D11" s="221"/>
      <c r="E11" s="319"/>
      <c r="F11" s="318"/>
      <c r="G11" s="318"/>
      <c r="H11" s="318"/>
      <c r="I11" s="334"/>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25"/>
      <c r="AP11" s="326"/>
      <c r="AQ11" s="326"/>
      <c r="AR11" s="326"/>
      <c r="AS11" s="326"/>
      <c r="AT11" s="327"/>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20"/>
      <c r="C12" s="220"/>
      <c r="D12" s="221"/>
      <c r="E12" s="319"/>
      <c r="F12" s="318"/>
      <c r="G12" s="318"/>
      <c r="H12" s="318"/>
      <c r="I12" s="334"/>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25"/>
      <c r="AP12" s="326"/>
      <c r="AQ12" s="326"/>
      <c r="AR12" s="326"/>
      <c r="AS12" s="326"/>
      <c r="AT12" s="327"/>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20"/>
      <c r="C13" s="220"/>
      <c r="D13" s="221"/>
      <c r="E13" s="319"/>
      <c r="F13" s="318"/>
      <c r="G13" s="318"/>
      <c r="H13" s="318"/>
      <c r="I13" s="334"/>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25"/>
      <c r="AP13" s="326"/>
      <c r="AQ13" s="326"/>
      <c r="AR13" s="326"/>
      <c r="AS13" s="326"/>
      <c r="AT13" s="327"/>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20"/>
      <c r="C14" s="220"/>
      <c r="D14" s="221"/>
      <c r="E14" s="319"/>
      <c r="F14" s="318"/>
      <c r="G14" s="318"/>
      <c r="H14" s="318"/>
      <c r="I14" s="334"/>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25"/>
      <c r="AP14" s="326"/>
      <c r="AQ14" s="326"/>
      <c r="AR14" s="326"/>
      <c r="AS14" s="326"/>
      <c r="AT14" s="327"/>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20"/>
      <c r="C15" s="220"/>
      <c r="D15" s="221"/>
      <c r="E15" s="320"/>
      <c r="F15" s="321"/>
      <c r="G15" s="321"/>
      <c r="H15" s="321"/>
      <c r="I15" s="335"/>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28"/>
      <c r="AP15" s="329"/>
      <c r="AQ15" s="329"/>
      <c r="AR15" s="329"/>
      <c r="AS15" s="329"/>
      <c r="AT15" s="330"/>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20"/>
      <c r="C16" s="220"/>
      <c r="D16" s="221"/>
      <c r="E16" s="315" t="s">
        <v>114</v>
      </c>
      <c r="F16" s="316"/>
      <c r="G16" s="316"/>
      <c r="H16" s="316"/>
      <c r="I16" s="316"/>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06" t="s">
        <v>79</v>
      </c>
      <c r="AP16" s="307"/>
      <c r="AQ16" s="307"/>
      <c r="AR16" s="307"/>
      <c r="AS16" s="307"/>
      <c r="AT16" s="308"/>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20"/>
      <c r="C17" s="220"/>
      <c r="D17" s="221"/>
      <c r="E17" s="317"/>
      <c r="F17" s="318"/>
      <c r="G17" s="318"/>
      <c r="H17" s="318"/>
      <c r="I17" s="318"/>
      <c r="J17" s="59" t="str">
        <f>IF(AND('Mapa final'!$AD$12="Alta",'Mapa final'!$AF$12="Leve"),CONCATENATE("R2C",'Mapa final'!$S$12),"")</f>
        <v/>
      </c>
      <c r="K17" s="60" t="str">
        <f>IF(AND('Mapa final'!$AD$13="Alta",'Mapa final'!$AF$13="Leve"),CONCATENATE("R2C",'Mapa final'!$S$13),"")</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final'!$AD$12="Alta",'Mapa final'!$AF$12="Menor"),CONCATENATE("R2C",'Mapa final'!$S$12),"")</f>
        <v/>
      </c>
      <c r="Q17" s="60" t="str">
        <f>IF(AND('Mapa final'!$AD$13="Alta",'Mapa final'!$AF$13="Menor"),CONCATENATE("R2C",'Mapa final'!$S$13),"")</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final'!$AD$12="Alta",'Mapa final'!$AF$12="Moderado"),CONCATENATE("R2C",'Mapa final'!$S$12),"")</f>
        <v/>
      </c>
      <c r="W17" s="45" t="str">
        <f>IF(AND('Mapa final'!$AD$13="Alta",'Mapa final'!$AF$13="Moderado"),CONCATENATE("R2C",'Mapa final'!$S$13),"")</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final'!$AD$12="Alta",'Mapa final'!$AF$12="Mayor"),CONCATENATE("R2C",'Mapa final'!$S$12),"")</f>
        <v/>
      </c>
      <c r="AC17" s="45" t="str">
        <f>IF(AND('Mapa final'!$AD$13="Alta",'Mapa final'!$AF$13="Mayor"),CONCATENATE("R2C",'Mapa final'!$S$13),"")</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final'!$AD$12="Alta",'Mapa final'!$AF$12="Catastrófico"),CONCATENATE("R2C",'Mapa final'!$S$12),"")</f>
        <v/>
      </c>
      <c r="AI17" s="48" t="str">
        <f>IF(AND('Mapa final'!$AD$13="Alta",'Mapa final'!$AF$13="Catastrófico"),CONCATENATE("R2C",'Mapa final'!$S$13),"")</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09"/>
      <c r="AP17" s="310"/>
      <c r="AQ17" s="310"/>
      <c r="AR17" s="310"/>
      <c r="AS17" s="310"/>
      <c r="AT17" s="311"/>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20"/>
      <c r="C18" s="220"/>
      <c r="D18" s="221"/>
      <c r="E18" s="319"/>
      <c r="F18" s="318"/>
      <c r="G18" s="318"/>
      <c r="H18" s="318"/>
      <c r="I18" s="318"/>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09"/>
      <c r="AP18" s="310"/>
      <c r="AQ18" s="310"/>
      <c r="AR18" s="310"/>
      <c r="AS18" s="310"/>
      <c r="AT18" s="311"/>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20"/>
      <c r="C19" s="220"/>
      <c r="D19" s="221"/>
      <c r="E19" s="319"/>
      <c r="F19" s="318"/>
      <c r="G19" s="318"/>
      <c r="H19" s="318"/>
      <c r="I19" s="318"/>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09"/>
      <c r="AP19" s="310"/>
      <c r="AQ19" s="310"/>
      <c r="AR19" s="310"/>
      <c r="AS19" s="310"/>
      <c r="AT19" s="311"/>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20"/>
      <c r="C20" s="220"/>
      <c r="D20" s="221"/>
      <c r="E20" s="319"/>
      <c r="F20" s="318"/>
      <c r="G20" s="318"/>
      <c r="H20" s="318"/>
      <c r="I20" s="318"/>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09"/>
      <c r="AP20" s="310"/>
      <c r="AQ20" s="310"/>
      <c r="AR20" s="310"/>
      <c r="AS20" s="310"/>
      <c r="AT20" s="311"/>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20"/>
      <c r="C21" s="220"/>
      <c r="D21" s="221"/>
      <c r="E21" s="319"/>
      <c r="F21" s="318"/>
      <c r="G21" s="318"/>
      <c r="H21" s="318"/>
      <c r="I21" s="318"/>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09"/>
      <c r="AP21" s="310"/>
      <c r="AQ21" s="310"/>
      <c r="AR21" s="310"/>
      <c r="AS21" s="310"/>
      <c r="AT21" s="311"/>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20"/>
      <c r="C22" s="220"/>
      <c r="D22" s="221"/>
      <c r="E22" s="319"/>
      <c r="F22" s="318"/>
      <c r="G22" s="318"/>
      <c r="H22" s="318"/>
      <c r="I22" s="318"/>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09"/>
      <c r="AP22" s="310"/>
      <c r="AQ22" s="310"/>
      <c r="AR22" s="310"/>
      <c r="AS22" s="310"/>
      <c r="AT22" s="311"/>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20"/>
      <c r="C23" s="220"/>
      <c r="D23" s="221"/>
      <c r="E23" s="319"/>
      <c r="F23" s="318"/>
      <c r="G23" s="318"/>
      <c r="H23" s="318"/>
      <c r="I23" s="318"/>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09"/>
      <c r="AP23" s="310"/>
      <c r="AQ23" s="310"/>
      <c r="AR23" s="310"/>
      <c r="AS23" s="310"/>
      <c r="AT23" s="311"/>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20"/>
      <c r="C24" s="220"/>
      <c r="D24" s="221"/>
      <c r="E24" s="319"/>
      <c r="F24" s="318"/>
      <c r="G24" s="318"/>
      <c r="H24" s="318"/>
      <c r="I24" s="318"/>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09"/>
      <c r="AP24" s="310"/>
      <c r="AQ24" s="310"/>
      <c r="AR24" s="310"/>
      <c r="AS24" s="310"/>
      <c r="AT24" s="311"/>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20"/>
      <c r="C25" s="220"/>
      <c r="D25" s="221"/>
      <c r="E25" s="320"/>
      <c r="F25" s="321"/>
      <c r="G25" s="321"/>
      <c r="H25" s="321"/>
      <c r="I25" s="321"/>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12"/>
      <c r="AP25" s="313"/>
      <c r="AQ25" s="313"/>
      <c r="AR25" s="313"/>
      <c r="AS25" s="313"/>
      <c r="AT25" s="314"/>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20"/>
      <c r="C26" s="220"/>
      <c r="D26" s="221"/>
      <c r="E26" s="315" t="s">
        <v>116</v>
      </c>
      <c r="F26" s="316"/>
      <c r="G26" s="316"/>
      <c r="H26" s="316"/>
      <c r="I26" s="333"/>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45" t="s">
        <v>80</v>
      </c>
      <c r="AP26" s="346"/>
      <c r="AQ26" s="346"/>
      <c r="AR26" s="346"/>
      <c r="AS26" s="346"/>
      <c r="AT26" s="347"/>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20"/>
      <c r="C27" s="220"/>
      <c r="D27" s="221"/>
      <c r="E27" s="317"/>
      <c r="F27" s="318"/>
      <c r="G27" s="318"/>
      <c r="H27" s="318"/>
      <c r="I27" s="334"/>
      <c r="J27" s="59" t="str">
        <f>IF(AND('Mapa final'!$AD$12="Media",'Mapa final'!$AF$12="Leve"),CONCATENATE("R2C",'Mapa final'!$S$12),"")</f>
        <v/>
      </c>
      <c r="K27" s="60" t="str">
        <f>IF(AND('Mapa final'!$AD$13="Media",'Mapa final'!$AF$13="Leve"),CONCATENATE("R2C",'Mapa final'!$S$13),"")</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final'!$AD$12="Media",'Mapa final'!$AF$12="Menor"),CONCATENATE("R2C",'Mapa final'!$S$12),"")</f>
        <v/>
      </c>
      <c r="Q27" s="60" t="str">
        <f>IF(AND('Mapa final'!$AD$13="Media",'Mapa final'!$AF$13="Menor"),CONCATENATE("R2C",'Mapa final'!$S$13),"")</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final'!$AD$12="Media",'Mapa final'!$AF$12="Moderado"),CONCATENATE("R2C",'Mapa final'!$S$12),"")</f>
        <v/>
      </c>
      <c r="W27" s="60" t="str">
        <f>IF(AND('Mapa final'!$AD$13="Media",'Mapa final'!$AF$13="Moderado"),CONCATENATE("R2C",'Mapa final'!$S$13),"")</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final'!$AD$12="Media",'Mapa final'!$AF$12="Mayor"),CONCATENATE("R2C",'Mapa final'!$S$12),"")</f>
        <v/>
      </c>
      <c r="AC27" s="45" t="str">
        <f>IF(AND('Mapa final'!$AD$13="Media",'Mapa final'!$AF$13="Mayor"),CONCATENATE("R2C",'Mapa final'!$S$13),"")</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final'!$AD$12="Media",'Mapa final'!$AF$12="Catastrófico"),CONCATENATE("R2C",'Mapa final'!$S$12),"")</f>
        <v/>
      </c>
      <c r="AI27" s="48" t="str">
        <f>IF(AND('Mapa final'!$AD$13="Media",'Mapa final'!$AF$13="Catastrófico"),CONCATENATE("R2C",'Mapa final'!$S$13),"")</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48"/>
      <c r="AP27" s="349"/>
      <c r="AQ27" s="349"/>
      <c r="AR27" s="349"/>
      <c r="AS27" s="349"/>
      <c r="AT27" s="350"/>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20"/>
      <c r="C28" s="220"/>
      <c r="D28" s="221"/>
      <c r="E28" s="319"/>
      <c r="F28" s="318"/>
      <c r="G28" s="318"/>
      <c r="H28" s="318"/>
      <c r="I28" s="334"/>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48"/>
      <c r="AP28" s="349"/>
      <c r="AQ28" s="349"/>
      <c r="AR28" s="349"/>
      <c r="AS28" s="349"/>
      <c r="AT28" s="350"/>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20"/>
      <c r="C29" s="220"/>
      <c r="D29" s="221"/>
      <c r="E29" s="319"/>
      <c r="F29" s="318"/>
      <c r="G29" s="318"/>
      <c r="H29" s="318"/>
      <c r="I29" s="334"/>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48"/>
      <c r="AP29" s="349"/>
      <c r="AQ29" s="349"/>
      <c r="AR29" s="349"/>
      <c r="AS29" s="349"/>
      <c r="AT29" s="350"/>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20"/>
      <c r="C30" s="220"/>
      <c r="D30" s="221"/>
      <c r="E30" s="319"/>
      <c r="F30" s="318"/>
      <c r="G30" s="318"/>
      <c r="H30" s="318"/>
      <c r="I30" s="334"/>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48"/>
      <c r="AP30" s="349"/>
      <c r="AQ30" s="349"/>
      <c r="AR30" s="349"/>
      <c r="AS30" s="349"/>
      <c r="AT30" s="350"/>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20"/>
      <c r="C31" s="220"/>
      <c r="D31" s="221"/>
      <c r="E31" s="319"/>
      <c r="F31" s="318"/>
      <c r="G31" s="318"/>
      <c r="H31" s="318"/>
      <c r="I31" s="334"/>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48"/>
      <c r="AP31" s="349"/>
      <c r="AQ31" s="349"/>
      <c r="AR31" s="349"/>
      <c r="AS31" s="349"/>
      <c r="AT31" s="350"/>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20"/>
      <c r="C32" s="220"/>
      <c r="D32" s="221"/>
      <c r="E32" s="319"/>
      <c r="F32" s="318"/>
      <c r="G32" s="318"/>
      <c r="H32" s="318"/>
      <c r="I32" s="334"/>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48"/>
      <c r="AP32" s="349"/>
      <c r="AQ32" s="349"/>
      <c r="AR32" s="349"/>
      <c r="AS32" s="349"/>
      <c r="AT32" s="350"/>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20"/>
      <c r="C33" s="220"/>
      <c r="D33" s="221"/>
      <c r="E33" s="319"/>
      <c r="F33" s="318"/>
      <c r="G33" s="318"/>
      <c r="H33" s="318"/>
      <c r="I33" s="334"/>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48"/>
      <c r="AP33" s="349"/>
      <c r="AQ33" s="349"/>
      <c r="AR33" s="349"/>
      <c r="AS33" s="349"/>
      <c r="AT33" s="350"/>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20"/>
      <c r="C34" s="220"/>
      <c r="D34" s="221"/>
      <c r="E34" s="319"/>
      <c r="F34" s="318"/>
      <c r="G34" s="318"/>
      <c r="H34" s="318"/>
      <c r="I34" s="334"/>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48"/>
      <c r="AP34" s="349"/>
      <c r="AQ34" s="349"/>
      <c r="AR34" s="349"/>
      <c r="AS34" s="349"/>
      <c r="AT34" s="350"/>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20"/>
      <c r="C35" s="220"/>
      <c r="D35" s="221"/>
      <c r="E35" s="320"/>
      <c r="F35" s="321"/>
      <c r="G35" s="321"/>
      <c r="H35" s="321"/>
      <c r="I35" s="335"/>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51"/>
      <c r="AP35" s="352"/>
      <c r="AQ35" s="352"/>
      <c r="AR35" s="352"/>
      <c r="AS35" s="352"/>
      <c r="AT35" s="353"/>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20"/>
      <c r="C36" s="220"/>
      <c r="D36" s="221"/>
      <c r="E36" s="315" t="s">
        <v>113</v>
      </c>
      <c r="F36" s="316"/>
      <c r="G36" s="316"/>
      <c r="H36" s="316"/>
      <c r="I36" s="316"/>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36" t="s">
        <v>81</v>
      </c>
      <c r="AP36" s="337"/>
      <c r="AQ36" s="337"/>
      <c r="AR36" s="337"/>
      <c r="AS36" s="337"/>
      <c r="AT36" s="338"/>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20"/>
      <c r="C37" s="220"/>
      <c r="D37" s="221"/>
      <c r="E37" s="317"/>
      <c r="F37" s="318"/>
      <c r="G37" s="318"/>
      <c r="H37" s="318"/>
      <c r="I37" s="318"/>
      <c r="J37" s="68" t="str">
        <f>IF(AND('Mapa final'!$AD$12="Baja",'Mapa final'!$AF$12="Leve"),CONCATENATE("R2C",'Mapa final'!$S$12),"")</f>
        <v/>
      </c>
      <c r="K37" s="69" t="str">
        <f>IF(AND('Mapa final'!$AD$13="Baja",'Mapa final'!$AF$13="Leve"),CONCATENATE("R2C",'Mapa final'!$S$13),"")</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final'!$AD$12="Baja",'Mapa final'!$AF$12="Menor"),CONCATENATE("R2C",'Mapa final'!$S$12),"")</f>
        <v/>
      </c>
      <c r="Q37" s="60" t="str">
        <f>IF(AND('Mapa final'!$AD$13="Baja",'Mapa final'!$AF$13="Menor"),CONCATENATE("R2C",'Mapa final'!$S$13),"")</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final'!$AD$12="Baja",'Mapa final'!$AF$12="Moderado"),CONCATENATE("R2C",'Mapa final'!$S$12),"")</f>
        <v>R2C1</v>
      </c>
      <c r="W37" s="60" t="str">
        <f>IF(AND('Mapa final'!$AD$13="Baja",'Mapa final'!$AF$13="Moderado"),CONCATENATE("R2C",'Mapa final'!$S$13),"")</f>
        <v>R2C2</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final'!$AD$12="Baja",'Mapa final'!$AF$12="Mayor"),CONCATENATE("R2C",'Mapa final'!$S$12),"")</f>
        <v/>
      </c>
      <c r="AC37" s="45" t="str">
        <f>IF(AND('Mapa final'!$AD$13="Baja",'Mapa final'!$AF$13="Mayor"),CONCATENATE("R2C",'Mapa final'!$S$13),"")</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final'!$AD$12="Baja",'Mapa final'!$AF$12="Catastrófico"),CONCATENATE("R2C",'Mapa final'!$S$12),"")</f>
        <v/>
      </c>
      <c r="AI37" s="48" t="str">
        <f>IF(AND('Mapa final'!$AD$13="Baja",'Mapa final'!$AF$13="Catastrófico"),CONCATENATE("R2C",'Mapa final'!$S$13),"")</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39"/>
      <c r="AP37" s="340"/>
      <c r="AQ37" s="340"/>
      <c r="AR37" s="340"/>
      <c r="AS37" s="340"/>
      <c r="AT37" s="341"/>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20"/>
      <c r="C38" s="220"/>
      <c r="D38" s="221"/>
      <c r="E38" s="319"/>
      <c r="F38" s="318"/>
      <c r="G38" s="318"/>
      <c r="H38" s="318"/>
      <c r="I38" s="318"/>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39"/>
      <c r="AP38" s="340"/>
      <c r="AQ38" s="340"/>
      <c r="AR38" s="340"/>
      <c r="AS38" s="340"/>
      <c r="AT38" s="341"/>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20"/>
      <c r="C39" s="220"/>
      <c r="D39" s="221"/>
      <c r="E39" s="319"/>
      <c r="F39" s="318"/>
      <c r="G39" s="318"/>
      <c r="H39" s="318"/>
      <c r="I39" s="318"/>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39"/>
      <c r="AP39" s="340"/>
      <c r="AQ39" s="340"/>
      <c r="AR39" s="340"/>
      <c r="AS39" s="340"/>
      <c r="AT39" s="341"/>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20"/>
      <c r="C40" s="220"/>
      <c r="D40" s="221"/>
      <c r="E40" s="319"/>
      <c r="F40" s="318"/>
      <c r="G40" s="318"/>
      <c r="H40" s="318"/>
      <c r="I40" s="318"/>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39"/>
      <c r="AP40" s="340"/>
      <c r="AQ40" s="340"/>
      <c r="AR40" s="340"/>
      <c r="AS40" s="340"/>
      <c r="AT40" s="341"/>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20"/>
      <c r="C41" s="220"/>
      <c r="D41" s="221"/>
      <c r="E41" s="319"/>
      <c r="F41" s="318"/>
      <c r="G41" s="318"/>
      <c r="H41" s="318"/>
      <c r="I41" s="318"/>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39"/>
      <c r="AP41" s="340"/>
      <c r="AQ41" s="340"/>
      <c r="AR41" s="340"/>
      <c r="AS41" s="340"/>
      <c r="AT41" s="341"/>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20"/>
      <c r="C42" s="220"/>
      <c r="D42" s="221"/>
      <c r="E42" s="319"/>
      <c r="F42" s="318"/>
      <c r="G42" s="318"/>
      <c r="H42" s="318"/>
      <c r="I42" s="318"/>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39"/>
      <c r="AP42" s="340"/>
      <c r="AQ42" s="340"/>
      <c r="AR42" s="340"/>
      <c r="AS42" s="340"/>
      <c r="AT42" s="341"/>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20"/>
      <c r="C43" s="220"/>
      <c r="D43" s="221"/>
      <c r="E43" s="319"/>
      <c r="F43" s="318"/>
      <c r="G43" s="318"/>
      <c r="H43" s="318"/>
      <c r="I43" s="318"/>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39"/>
      <c r="AP43" s="340"/>
      <c r="AQ43" s="340"/>
      <c r="AR43" s="340"/>
      <c r="AS43" s="340"/>
      <c r="AT43" s="341"/>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20"/>
      <c r="C44" s="220"/>
      <c r="D44" s="221"/>
      <c r="E44" s="319"/>
      <c r="F44" s="318"/>
      <c r="G44" s="318"/>
      <c r="H44" s="318"/>
      <c r="I44" s="318"/>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39"/>
      <c r="AP44" s="340"/>
      <c r="AQ44" s="340"/>
      <c r="AR44" s="340"/>
      <c r="AS44" s="340"/>
      <c r="AT44" s="341"/>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20"/>
      <c r="C45" s="220"/>
      <c r="D45" s="221"/>
      <c r="E45" s="320"/>
      <c r="F45" s="321"/>
      <c r="G45" s="321"/>
      <c r="H45" s="321"/>
      <c r="I45" s="321"/>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42"/>
      <c r="AP45" s="343"/>
      <c r="AQ45" s="343"/>
      <c r="AR45" s="343"/>
      <c r="AS45" s="343"/>
      <c r="AT45" s="344"/>
    </row>
    <row r="46" spans="1:80" ht="46.5" customHeight="1" x14ac:dyDescent="0.35">
      <c r="A46" s="75"/>
      <c r="B46" s="220"/>
      <c r="C46" s="220"/>
      <c r="D46" s="221"/>
      <c r="E46" s="315" t="s">
        <v>112</v>
      </c>
      <c r="F46" s="316"/>
      <c r="G46" s="316"/>
      <c r="H46" s="316"/>
      <c r="I46" s="333"/>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20"/>
      <c r="C47" s="220"/>
      <c r="D47" s="221"/>
      <c r="E47" s="317"/>
      <c r="F47" s="318"/>
      <c r="G47" s="318"/>
      <c r="H47" s="318"/>
      <c r="I47" s="334"/>
      <c r="J47" s="68" t="str">
        <f>IF(AND('Mapa final'!$AD$12="Muy Baja",'Mapa final'!$AF$12="Leve"),CONCATENATE("R2C",'Mapa final'!$S$12),"")</f>
        <v/>
      </c>
      <c r="K47" s="69" t="str">
        <f>IF(AND('Mapa final'!$AD$13="Muy Baja",'Mapa final'!$AF$13="Leve"),CONCATENATE("R2C",'Mapa final'!$S$13),"")</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final'!$AD$12="Muy Baja",'Mapa final'!$AF$12="Menor"),CONCATENATE("R2C",'Mapa final'!$S$12),"")</f>
        <v/>
      </c>
      <c r="Q47" s="69" t="str">
        <f>IF(AND('Mapa final'!$AD$13="Muy Baja",'Mapa final'!$AF$13="Menor"),CONCATENATE("R2C",'Mapa final'!$S$13),"")</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final'!$AD$12="Muy Baja",'Mapa final'!$AF$12="Moderado"),CONCATENATE("R2C",'Mapa final'!$S$12),"")</f>
        <v/>
      </c>
      <c r="W47" s="60" t="str">
        <f>IF(AND('Mapa final'!$AD$13="Muy Baja",'Mapa final'!$AF$13="Moderado"),CONCATENATE("R2C",'Mapa final'!$S$13),"")</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final'!$AD$12="Muy Baja",'Mapa final'!$AF$12="Mayor"),CONCATENATE("R2C",'Mapa final'!$S$12),"")</f>
        <v/>
      </c>
      <c r="AC47" s="45" t="str">
        <f>IF(AND('Mapa final'!$AD$13="Muy Baja",'Mapa final'!$AF$13="Mayor"),CONCATENATE("R2C",'Mapa final'!$S$13),"")</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final'!$AD$12="Muy Baja",'Mapa final'!$AF$12="Catastrófico"),CONCATENATE("R2C",'Mapa final'!$S$12),"")</f>
        <v/>
      </c>
      <c r="AI47" s="48" t="str">
        <f>IF(AND('Mapa final'!$AD$13="Muy Baja",'Mapa final'!$AF$13="Catastrófico"),CONCATENATE("R2C",'Mapa final'!$S$13),"")</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20"/>
      <c r="C48" s="220"/>
      <c r="D48" s="221"/>
      <c r="E48" s="317"/>
      <c r="F48" s="318"/>
      <c r="G48" s="318"/>
      <c r="H48" s="318"/>
      <c r="I48" s="334"/>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20"/>
      <c r="C49" s="220"/>
      <c r="D49" s="221"/>
      <c r="E49" s="319"/>
      <c r="F49" s="318"/>
      <c r="G49" s="318"/>
      <c r="H49" s="318"/>
      <c r="I49" s="334"/>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20"/>
      <c r="C50" s="220"/>
      <c r="D50" s="221"/>
      <c r="E50" s="319"/>
      <c r="F50" s="318"/>
      <c r="G50" s="318"/>
      <c r="H50" s="318"/>
      <c r="I50" s="334"/>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20"/>
      <c r="C51" s="220"/>
      <c r="D51" s="221"/>
      <c r="E51" s="319"/>
      <c r="F51" s="318"/>
      <c r="G51" s="318"/>
      <c r="H51" s="318"/>
      <c r="I51" s="334"/>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20"/>
      <c r="C52" s="220"/>
      <c r="D52" s="221"/>
      <c r="E52" s="319"/>
      <c r="F52" s="318"/>
      <c r="G52" s="318"/>
      <c r="H52" s="318"/>
      <c r="I52" s="334"/>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20"/>
      <c r="C53" s="220"/>
      <c r="D53" s="221"/>
      <c r="E53" s="319"/>
      <c r="F53" s="318"/>
      <c r="G53" s="318"/>
      <c r="H53" s="318"/>
      <c r="I53" s="334"/>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20"/>
      <c r="C54" s="220"/>
      <c r="D54" s="221"/>
      <c r="E54" s="319"/>
      <c r="F54" s="318"/>
      <c r="G54" s="318"/>
      <c r="H54" s="318"/>
      <c r="I54" s="334"/>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20"/>
      <c r="C55" s="220"/>
      <c r="D55" s="221"/>
      <c r="E55" s="320"/>
      <c r="F55" s="321"/>
      <c r="G55" s="321"/>
      <c r="H55" s="321"/>
      <c r="I55" s="335"/>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15" t="s">
        <v>111</v>
      </c>
      <c r="K56" s="316"/>
      <c r="L56" s="316"/>
      <c r="M56" s="316"/>
      <c r="N56" s="316"/>
      <c r="O56" s="333"/>
      <c r="P56" s="315" t="s">
        <v>110</v>
      </c>
      <c r="Q56" s="316"/>
      <c r="R56" s="316"/>
      <c r="S56" s="316"/>
      <c r="T56" s="316"/>
      <c r="U56" s="333"/>
      <c r="V56" s="315" t="s">
        <v>109</v>
      </c>
      <c r="W56" s="316"/>
      <c r="X56" s="316"/>
      <c r="Y56" s="316"/>
      <c r="Z56" s="316"/>
      <c r="AA56" s="333"/>
      <c r="AB56" s="315" t="s">
        <v>108</v>
      </c>
      <c r="AC56" s="354"/>
      <c r="AD56" s="316"/>
      <c r="AE56" s="316"/>
      <c r="AF56" s="316"/>
      <c r="AG56" s="333"/>
      <c r="AH56" s="315" t="s">
        <v>107</v>
      </c>
      <c r="AI56" s="316"/>
      <c r="AJ56" s="316"/>
      <c r="AK56" s="316"/>
      <c r="AL56" s="316"/>
      <c r="AM56" s="333"/>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19"/>
      <c r="K57" s="318"/>
      <c r="L57" s="318"/>
      <c r="M57" s="318"/>
      <c r="N57" s="318"/>
      <c r="O57" s="334"/>
      <c r="P57" s="319"/>
      <c r="Q57" s="318"/>
      <c r="R57" s="318"/>
      <c r="S57" s="318"/>
      <c r="T57" s="318"/>
      <c r="U57" s="334"/>
      <c r="V57" s="319"/>
      <c r="W57" s="318"/>
      <c r="X57" s="318"/>
      <c r="Y57" s="318"/>
      <c r="Z57" s="318"/>
      <c r="AA57" s="334"/>
      <c r="AB57" s="319"/>
      <c r="AC57" s="318"/>
      <c r="AD57" s="318"/>
      <c r="AE57" s="318"/>
      <c r="AF57" s="318"/>
      <c r="AG57" s="334"/>
      <c r="AH57" s="319"/>
      <c r="AI57" s="318"/>
      <c r="AJ57" s="318"/>
      <c r="AK57" s="318"/>
      <c r="AL57" s="318"/>
      <c r="AM57" s="334"/>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19"/>
      <c r="K58" s="318"/>
      <c r="L58" s="318"/>
      <c r="M58" s="318"/>
      <c r="N58" s="318"/>
      <c r="O58" s="334"/>
      <c r="P58" s="319"/>
      <c r="Q58" s="318"/>
      <c r="R58" s="318"/>
      <c r="S58" s="318"/>
      <c r="T58" s="318"/>
      <c r="U58" s="334"/>
      <c r="V58" s="319"/>
      <c r="W58" s="318"/>
      <c r="X58" s="318"/>
      <c r="Y58" s="318"/>
      <c r="Z58" s="318"/>
      <c r="AA58" s="334"/>
      <c r="AB58" s="319"/>
      <c r="AC58" s="318"/>
      <c r="AD58" s="318"/>
      <c r="AE58" s="318"/>
      <c r="AF58" s="318"/>
      <c r="AG58" s="334"/>
      <c r="AH58" s="319"/>
      <c r="AI58" s="318"/>
      <c r="AJ58" s="318"/>
      <c r="AK58" s="318"/>
      <c r="AL58" s="318"/>
      <c r="AM58" s="33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19"/>
      <c r="K59" s="318"/>
      <c r="L59" s="318"/>
      <c r="M59" s="318"/>
      <c r="N59" s="318"/>
      <c r="O59" s="334"/>
      <c r="P59" s="319"/>
      <c r="Q59" s="318"/>
      <c r="R59" s="318"/>
      <c r="S59" s="318"/>
      <c r="T59" s="318"/>
      <c r="U59" s="334"/>
      <c r="V59" s="319"/>
      <c r="W59" s="318"/>
      <c r="X59" s="318"/>
      <c r="Y59" s="318"/>
      <c r="Z59" s="318"/>
      <c r="AA59" s="334"/>
      <c r="AB59" s="319"/>
      <c r="AC59" s="318"/>
      <c r="AD59" s="318"/>
      <c r="AE59" s="318"/>
      <c r="AF59" s="318"/>
      <c r="AG59" s="334"/>
      <c r="AH59" s="319"/>
      <c r="AI59" s="318"/>
      <c r="AJ59" s="318"/>
      <c r="AK59" s="318"/>
      <c r="AL59" s="318"/>
      <c r="AM59" s="33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19"/>
      <c r="K60" s="318"/>
      <c r="L60" s="318"/>
      <c r="M60" s="318"/>
      <c r="N60" s="318"/>
      <c r="O60" s="334"/>
      <c r="P60" s="319"/>
      <c r="Q60" s="318"/>
      <c r="R60" s="318"/>
      <c r="S60" s="318"/>
      <c r="T60" s="318"/>
      <c r="U60" s="334"/>
      <c r="V60" s="319"/>
      <c r="W60" s="318"/>
      <c r="X60" s="318"/>
      <c r="Y60" s="318"/>
      <c r="Z60" s="318"/>
      <c r="AA60" s="334"/>
      <c r="AB60" s="319"/>
      <c r="AC60" s="318"/>
      <c r="AD60" s="318"/>
      <c r="AE60" s="318"/>
      <c r="AF60" s="318"/>
      <c r="AG60" s="334"/>
      <c r="AH60" s="319"/>
      <c r="AI60" s="318"/>
      <c r="AJ60" s="318"/>
      <c r="AK60" s="318"/>
      <c r="AL60" s="318"/>
      <c r="AM60" s="334"/>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20"/>
      <c r="K61" s="321"/>
      <c r="L61" s="321"/>
      <c r="M61" s="321"/>
      <c r="N61" s="321"/>
      <c r="O61" s="335"/>
      <c r="P61" s="320"/>
      <c r="Q61" s="321"/>
      <c r="R61" s="321"/>
      <c r="S61" s="321"/>
      <c r="T61" s="321"/>
      <c r="U61" s="335"/>
      <c r="V61" s="320"/>
      <c r="W61" s="321"/>
      <c r="X61" s="321"/>
      <c r="Y61" s="321"/>
      <c r="Z61" s="321"/>
      <c r="AA61" s="335"/>
      <c r="AB61" s="320"/>
      <c r="AC61" s="321"/>
      <c r="AD61" s="321"/>
      <c r="AE61" s="321"/>
      <c r="AF61" s="321"/>
      <c r="AG61" s="335"/>
      <c r="AH61" s="320"/>
      <c r="AI61" s="321"/>
      <c r="AJ61" s="321"/>
      <c r="AK61" s="321"/>
      <c r="AL61" s="321"/>
      <c r="AM61" s="33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55" t="s">
        <v>54</v>
      </c>
      <c r="C1" s="355"/>
      <c r="D1" s="355"/>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56" t="s">
        <v>62</v>
      </c>
      <c r="C1" s="356"/>
      <c r="D1" s="356"/>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57" t="s">
        <v>77</v>
      </c>
      <c r="C1" s="358"/>
      <c r="D1" s="358"/>
      <c r="E1" s="358"/>
      <c r="F1" s="359"/>
    </row>
    <row r="2" spans="2:6" ht="16.5" thickBot="1" x14ac:dyDescent="0.3">
      <c r="B2" s="81"/>
      <c r="C2" s="81"/>
      <c r="D2" s="81"/>
      <c r="E2" s="81"/>
      <c r="F2" s="81"/>
    </row>
    <row r="3" spans="2:6" ht="16.5" thickBot="1" x14ac:dyDescent="0.25">
      <c r="B3" s="361" t="s">
        <v>63</v>
      </c>
      <c r="C3" s="362"/>
      <c r="D3" s="362"/>
      <c r="E3" s="93" t="s">
        <v>64</v>
      </c>
      <c r="F3" s="94" t="s">
        <v>65</v>
      </c>
    </row>
    <row r="4" spans="2:6" ht="31.5" x14ac:dyDescent="0.2">
      <c r="B4" s="363" t="s">
        <v>66</v>
      </c>
      <c r="C4" s="365" t="s">
        <v>13</v>
      </c>
      <c r="D4" s="82" t="s">
        <v>14</v>
      </c>
      <c r="E4" s="83" t="s">
        <v>67</v>
      </c>
      <c r="F4" s="84">
        <v>0.25</v>
      </c>
    </row>
    <row r="5" spans="2:6" ht="47.25" x14ac:dyDescent="0.2">
      <c r="B5" s="364"/>
      <c r="C5" s="366"/>
      <c r="D5" s="85" t="s">
        <v>15</v>
      </c>
      <c r="E5" s="86" t="s">
        <v>68</v>
      </c>
      <c r="F5" s="87">
        <v>0.15</v>
      </c>
    </row>
    <row r="6" spans="2:6" ht="47.25" x14ac:dyDescent="0.2">
      <c r="B6" s="364"/>
      <c r="C6" s="366"/>
      <c r="D6" s="85" t="s">
        <v>16</v>
      </c>
      <c r="E6" s="86" t="s">
        <v>69</v>
      </c>
      <c r="F6" s="87">
        <v>0.1</v>
      </c>
    </row>
    <row r="7" spans="2:6" ht="63" x14ac:dyDescent="0.2">
      <c r="B7" s="364"/>
      <c r="C7" s="366" t="s">
        <v>17</v>
      </c>
      <c r="D7" s="85" t="s">
        <v>10</v>
      </c>
      <c r="E7" s="86" t="s">
        <v>70</v>
      </c>
      <c r="F7" s="87">
        <v>0.25</v>
      </c>
    </row>
    <row r="8" spans="2:6" ht="31.5" x14ac:dyDescent="0.2">
      <c r="B8" s="364"/>
      <c r="C8" s="366"/>
      <c r="D8" s="85" t="s">
        <v>9</v>
      </c>
      <c r="E8" s="86" t="s">
        <v>71</v>
      </c>
      <c r="F8" s="87">
        <v>0.15</v>
      </c>
    </row>
    <row r="9" spans="2:6" ht="47.25" x14ac:dyDescent="0.2">
      <c r="B9" s="364" t="s">
        <v>159</v>
      </c>
      <c r="C9" s="366" t="s">
        <v>18</v>
      </c>
      <c r="D9" s="85" t="s">
        <v>19</v>
      </c>
      <c r="E9" s="86" t="s">
        <v>72</v>
      </c>
      <c r="F9" s="88" t="s">
        <v>73</v>
      </c>
    </row>
    <row r="10" spans="2:6" ht="63" x14ac:dyDescent="0.2">
      <c r="B10" s="364"/>
      <c r="C10" s="366"/>
      <c r="D10" s="85" t="s">
        <v>20</v>
      </c>
      <c r="E10" s="86" t="s">
        <v>74</v>
      </c>
      <c r="F10" s="88" t="s">
        <v>73</v>
      </c>
    </row>
    <row r="11" spans="2:6" ht="47.25" x14ac:dyDescent="0.2">
      <c r="B11" s="364"/>
      <c r="C11" s="366" t="s">
        <v>21</v>
      </c>
      <c r="D11" s="85" t="s">
        <v>22</v>
      </c>
      <c r="E11" s="86" t="s">
        <v>75</v>
      </c>
      <c r="F11" s="88" t="s">
        <v>73</v>
      </c>
    </row>
    <row r="12" spans="2:6" ht="47.25" x14ac:dyDescent="0.2">
      <c r="B12" s="364"/>
      <c r="C12" s="366"/>
      <c r="D12" s="85" t="s">
        <v>23</v>
      </c>
      <c r="E12" s="86" t="s">
        <v>76</v>
      </c>
      <c r="F12" s="88" t="s">
        <v>73</v>
      </c>
    </row>
    <row r="13" spans="2:6" ht="31.5" x14ac:dyDescent="0.2">
      <c r="B13" s="364"/>
      <c r="C13" s="366" t="s">
        <v>24</v>
      </c>
      <c r="D13" s="85" t="s">
        <v>118</v>
      </c>
      <c r="E13" s="86" t="s">
        <v>121</v>
      </c>
      <c r="F13" s="88" t="s">
        <v>73</v>
      </c>
    </row>
    <row r="14" spans="2:6" ht="32.25" thickBot="1" x14ac:dyDescent="0.25">
      <c r="B14" s="367"/>
      <c r="C14" s="368"/>
      <c r="D14" s="89" t="s">
        <v>119</v>
      </c>
      <c r="E14" s="90" t="s">
        <v>120</v>
      </c>
      <c r="F14" s="91" t="s">
        <v>73</v>
      </c>
    </row>
    <row r="15" spans="2:6" ht="49.5" customHeight="1" x14ac:dyDescent="0.2">
      <c r="B15" s="360" t="s">
        <v>156</v>
      </c>
      <c r="C15" s="360"/>
      <c r="D15" s="360"/>
      <c r="E15" s="360"/>
      <c r="F15" s="360"/>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2022-12-16T21:48:50Z</dcterms:modified>
</cp:coreProperties>
</file>