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143" documentId="8_{3F90DAC1-7FB5-437A-AF5C-D8E0AB9600CD}" xr6:coauthVersionLast="47" xr6:coauthVersionMax="47" xr10:uidLastSave="{FE4176BE-33EF-47A3-96F8-AFF71F7B0751}"/>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 r:id="rId13"/>
  </externalReferences>
  <calcPr calcId="191029"/>
  <pivotCaches>
    <pivotCache cacheId="0"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1" l="1"/>
  <c r="Q20" i="1" s="1"/>
  <c r="AG20" i="1" s="1"/>
  <c r="AF20" i="1" s="1"/>
  <c r="L20" i="1"/>
  <c r="L15" i="1"/>
  <c r="L18" i="1"/>
  <c r="AC14" i="1"/>
  <c r="AE14" i="1" s="1"/>
  <c r="AG13" i="1"/>
  <c r="AF13" i="1" s="1"/>
  <c r="AG11" i="1"/>
  <c r="AF11" i="1" s="1"/>
  <c r="AC11" i="1"/>
  <c r="AD11" i="1" s="1"/>
  <c r="O18" i="1"/>
  <c r="AG12" i="1" l="1"/>
  <c r="AF12" i="1" s="1"/>
  <c r="AH11" i="1"/>
  <c r="R20" i="1"/>
  <c r="M20" i="1"/>
  <c r="AC20" i="1" s="1"/>
  <c r="AD20" i="1" s="1"/>
  <c r="AH20" i="1" s="1"/>
  <c r="AG14" i="1"/>
  <c r="AF14" i="1" s="1"/>
  <c r="M15" i="1"/>
  <c r="AC15" i="1" s="1"/>
  <c r="AD15" i="1" s="1"/>
  <c r="P18" i="1"/>
  <c r="Q18" i="1" s="1"/>
  <c r="AG18" i="1" s="1"/>
  <c r="M18" i="1"/>
  <c r="AC18" i="1" s="1"/>
  <c r="AE18" i="1" s="1"/>
  <c r="AC19" i="1" s="1"/>
  <c r="AE19" i="1" s="1"/>
  <c r="AD14" i="1"/>
  <c r="AE11" i="1"/>
  <c r="AC12" i="1" s="1"/>
  <c r="AE12" i="1" s="1"/>
  <c r="AC13" i="1" s="1"/>
  <c r="AD13" i="1" s="1"/>
  <c r="AH13" i="1" s="1"/>
  <c r="L25" i="1"/>
  <c r="AD18" i="1" l="1"/>
  <c r="AD19" i="1"/>
  <c r="AH14" i="1"/>
  <c r="AE20" i="1"/>
  <c r="AF18" i="1"/>
  <c r="AH18" i="1" s="1"/>
  <c r="AG19" i="1"/>
  <c r="AF19" i="1" s="1"/>
  <c r="AH19" i="1" s="1"/>
  <c r="AD12" i="1"/>
  <c r="AH12" i="1" s="1"/>
  <c r="AE13" i="1"/>
  <c r="AE15" i="1"/>
  <c r="AC16" i="1" s="1"/>
  <c r="R18" i="1"/>
  <c r="F221" i="13"/>
  <c r="F211" i="13"/>
  <c r="F212" i="13"/>
  <c r="F213" i="13"/>
  <c r="F214" i="13"/>
  <c r="F215" i="13"/>
  <c r="F216" i="13"/>
  <c r="F217" i="13"/>
  <c r="F218" i="13"/>
  <c r="F219" i="13"/>
  <c r="F220" i="13"/>
  <c r="F210" i="13"/>
  <c r="B221" i="13" a="1"/>
  <c r="AD16" i="1" l="1"/>
  <c r="AE16" i="1"/>
  <c r="AC17" i="1" s="1"/>
  <c r="B221" i="13"/>
  <c r="AE17" i="1" l="1"/>
  <c r="AD17"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O15" i="1" l="1"/>
  <c r="P15" i="1" s="1"/>
  <c r="Q15" i="1" l="1"/>
  <c r="AG15" i="1" s="1"/>
  <c r="R15" i="1"/>
  <c r="AF15" i="1" l="1"/>
  <c r="AH15" i="1" s="1"/>
  <c r="AG16" i="1"/>
  <c r="AF16" i="1" l="1"/>
  <c r="AH16" i="1" s="1"/>
  <c r="AG17" i="1"/>
  <c r="AF17" i="1" s="1"/>
  <c r="AH17" i="1"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<sst xmlns="http://schemas.openxmlformats.org/spreadsheetml/2006/main" count="603" uniqueCount="348">
  <si>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</si>
  <si>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</si>
  <si>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</si>
  <si>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</si>
  <si>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</si>
  <si>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</si>
  <si>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</si>
  <si>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</si>
  <si>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</si>
  <si>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</si>
  <si>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</si>
  <si>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</si>
  <si>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</si>
  <si>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</si>
  <si>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</si>
  <si>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</si>
  <si>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</si>
  <si>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</si>
  <si>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</si>
  <si>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</si>
  <si>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</si>
  <si>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</si>
  <si>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</si>
  <si>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</si>
  <si>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</si>
  <si>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</si>
  <si>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</si>
  <si>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</si>
  <si>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</si>
  <si>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</si>
  <si>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</si>
  <si>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</si>
  <si>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</si>
  <si>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</si>
  <si>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</si>
  <si>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</si>
  <si>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</si>
  <si>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</si>
  <si>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</si>
  <si>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</si>
  <si>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</si>
  <si>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</si>
  <si>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</si>
  <si>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</si>
  <si>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</si>
  <si>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</si>
  <si>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</si>
  <si>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</si>
  <si>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</si>
  <si>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</si>
  <si>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</si>
  <si>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</si>
  <si>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</si>
  <si>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</si>
  <si>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</si>
  <si>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</si>
  <si>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</si>
  <si>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</si>
  <si>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</si>
  <si>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</si>
  <si>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</si>
  <si>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</si>
  <si>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</si>
  <si>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</si>
  <si>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</si>
  <si>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</si>
  <si>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</si>
  <si>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</si>
  <si>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</si>
  <si>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</si>
  <si>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</si>
  <si>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</si>
  <si>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</si>
  <si>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</si>
  <si>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</si>
  <si>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</si>
  <si>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</si>
  <si>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</si>
  <si>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</si>
  <si>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</si>
  <si>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</si>
  <si>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</si>
  <si>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</si>
  <si>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</si>
  <si>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</si>
  <si>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</si>
  <si>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</si>
  <si>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</si>
  <si>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</si>
  <si>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</si>
  <si>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</si>
  <si>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</si>
  <si>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</si>
  <si>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</si>
  <si>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</si>
  <si>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</si>
  <si>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</si>
  <si>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</si>
  <si>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</si>
  <si>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</si>
  <si>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</si>
  <si>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</si>
  <si>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</si>
  <si>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</si>
  <si>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</si>
  <si>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</si>
  <si>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</si>
  <si>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</si>
  <si>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</si>
  <si>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</si>
  <si>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</si>
  <si>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</si>
  <si>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</si>
  <si>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</si>
  <si>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</si>
  <si>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</si>
  <si>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</si>
  <si>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</si>
  <si>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</si>
  <si>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</si>
  <si>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</si>
  <si>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</si>
  <si>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</si>
  <si>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</si>
  <si>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</si>
  <si>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</si>
  <si>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</si>
  <si>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</si>
  <si>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</si>
  <si>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</si>
  <si>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</si>
  <si>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</si>
  <si>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</si>
  <si>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</si>
  <si>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</si>
  <si>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</si>
  <si>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</si>
  <si>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</si>
  <si>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</si>
  <si>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</si>
  <si>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</si>
  <si>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</si>
  <si>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</si>
  <si>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</si>
  <si>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</si>
  <si>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</si>
  <si>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</si>
  <si>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</si>
  <si>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</si>
  <si>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</si>
  <si>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</si>
  <si>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</si>
  <si>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</si>
  <si>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</si>
  <si>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</si>
  <si>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</si>
  <si>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</si>
  <si>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</si>
  <si>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</si>
  <si>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</si>
  <si>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</si>
  <si>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</si>
  <si>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</si>
  <si>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</si>
  <si>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</si>
  <si>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</si>
  <si>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</si>
  <si>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</si>
  <si>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</si>
  <si>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</si>
  <si>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</si>
  <si>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</si>
  <si>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</si>
  <si>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</si>
  <si>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</si>
  <si>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</si>
  <si>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</si>
  <si>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</si>
  <si>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</si>
  <si>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</si>
  <si>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</si>
  <si>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</si>
  <si>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</si>
  <si>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</si>
  <si>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</si>
  <si>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</si>
  <si>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</si>
  <si>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</si>
  <si>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</si>
  <si>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</si>
  <si>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</si>
  <si>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</si>
  <si>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</si>
  <si>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</si>
  <si>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</si>
  <si>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</si>
  <si>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</si>
  <si>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</si>
  <si>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</si>
  <si>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</si>
  <si>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</si>
  <si>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</si>
  <si>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</si>
  <si>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</si>
  <si>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</si>
  <si>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</si>
  <si>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</si>
  <si>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</si>
  <si>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</si>
  <si>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</si>
  <si>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</si>
  <si>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</si>
  <si>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</si>
  <si>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</si>
  <si>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</si>
  <si>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</si>
  <si>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</si>
  <si>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</si>
  <si>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</si>
  <si>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</si>
  <si>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</si>
  <si>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</si>
  <si>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</si>
  <si>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</si>
  <si>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</si>
  <si>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</si>
  <si>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</si>
  <si>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</si>
  <si>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</si>
  <si>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</si>
  <si>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</si>
  <si>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</si>
  <si>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</si>
  <si>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</si>
  <si>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</si>
  <si>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</si>
  <si>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</si>
  <si>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</si>
  <si>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</si>
  <si>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</si>
  <si>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</si>
  <si>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</si>
  <si>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</si>
  <si>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</si>
  <si>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</si>
  <si>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</si>
  <si>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</si>
  <si>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</si>
  <si>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</si>
  <si>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</si>
  <si>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</si>
  <si>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</si>
  <si>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</si>
  <si>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</si>
  <si>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DOCUMENTAL</t>
  </si>
  <si>
    <t>Desarrollar las actividades administrativas y técnicas con conocimiento con la planificación de los procesos archivísticos en relación con la organización administración, valoración y preservación de los documentos de archivo producidos y/o recibidos por la entidad en cumplimiento de sus funciones, con el fin de garantizar el acceso oportuno de la información así como brindar el servicio de la atención e información al ciudadano, a través del sistema de PQRSD, respondiendo de esta manera al cumplimiento de los fines institucionales</t>
  </si>
  <si>
    <t xml:space="preserve">Desde la planeación de la función archivística de la entidad hasta el diseño, implementación, evaluación y mejora de la producción, tramite, organización, administración, preservación, hasta la difusión y acceso a la información pública y a los documentos de archivo en la Escuela Tecnologica Instituto Técnico Central. </t>
  </si>
  <si>
    <t>Enfermedades laborales
Demandas
Sanciones</t>
  </si>
  <si>
    <t>Falta de fumigación en el archivo de la entidad.
Falta de EPP
Falta o inadecuada limpieza en el archivo central por parte del personal de servicios generales.</t>
  </si>
  <si>
    <t>Afectación en la gestión institucional.
Investigaciones disciplinarias.
Pérdida o cambio de información institucional</t>
  </si>
  <si>
    <t>Omitir el procedimiento definido para el préstamo o consulta de los documentos.
Posibilidad de acceso a los archivos de personal no autorizado</t>
  </si>
  <si>
    <t>Denuncias penales.
Incumplimiento de la ley 1712 de 2014.
Perdida de información relevante para la entidad.
Investigaciones disciplinarias.</t>
  </si>
  <si>
    <t>Uso indebido de la información a personal no autorizado</t>
  </si>
  <si>
    <t>Cumplimiento al procedimiento de préstamo de documentos.</t>
  </si>
  <si>
    <t>Mantener la información generada en el proceso en el Onedrive</t>
  </si>
  <si>
    <t>Solicitar al área de Gestión Ambiental fumigación del archivo central.</t>
  </si>
  <si>
    <t>Realizar al área de SST la soliciud de elementos de protección personal.</t>
  </si>
  <si>
    <t>Verificar que se cumpla el protocolo para limpieza y desinfección en los archivos con el apoyo de SST.</t>
  </si>
  <si>
    <t>Cumplir el procedimiento para el préstamo o la consulta de documentos, diligenciando los respectivos formatos</t>
  </si>
  <si>
    <t>Restricción de entrada sólo de personal autorizado.
Si por necesidad o por solicitud debe ingresar algún externo del proceso al archivo, este debe dilgenciar la planilla de control de visita.</t>
  </si>
  <si>
    <t xml:space="preserve">Sensibilización al equipo de trabajo de responsabilidades y cumplimiento de política de seguridad de la información </t>
  </si>
  <si>
    <t>40%</t>
  </si>
  <si>
    <t>Realizar los controles de prèstamo.</t>
  </si>
  <si>
    <t>Profesional Gestión Documental y Atención al Ciudadano</t>
  </si>
  <si>
    <t>Cada vez que se tramite un prestamo</t>
  </si>
  <si>
    <t xml:space="preserve">Cuando se entreguen documentos de forma física
</t>
  </si>
  <si>
    <t>25%</t>
  </si>
  <si>
    <t>Solicitar reporte al area de tecnologia para tener un control diario semanal de la actualizacion del Onedirve.</t>
  </si>
  <si>
    <t>Todos los integrantes del proceso</t>
  </si>
  <si>
    <t xml:space="preserve">Permanente
</t>
  </si>
  <si>
    <t>Verificar el cronograma para la debida fumugación del archivo central, realizando seguimiento de este mismo para su debido cumplimiento.</t>
  </si>
  <si>
    <t>Semestral</t>
  </si>
  <si>
    <t>Cumplir con la entrega de los EPP en el tiempo establecido.</t>
  </si>
  <si>
    <t>Permanente</t>
  </si>
  <si>
    <t>30%</t>
  </si>
  <si>
    <t>Se debe diligenciar el formato  de control de consultas y prestamos, con el fin de tener un reporte de las personas que lo solicitan.</t>
  </si>
  <si>
    <t xml:space="preserve">Profesional de Gestión Documental y Atención al Ciudadano
</t>
  </si>
  <si>
    <t>Cada vez que se consulte o preste un documento</t>
  </si>
  <si>
    <t>Realizar el control de ingreso de las visitas al archivo central, mediante las planillas estipuladas.</t>
  </si>
  <si>
    <t>Cuando ingresa personal externo del proceso al archivo central</t>
  </si>
  <si>
    <t>Cumplir con el acuerdo de cofiabilidad establecido por la entidad.</t>
  </si>
  <si>
    <t xml:space="preserve">Profesional de Gestión Documental y Atención al Ciudadano </t>
  </si>
  <si>
    <r>
      <rPr>
        <b/>
        <sz val="14"/>
        <rFont val="Arial Narrow"/>
        <family val="2"/>
      </rPr>
      <t>LIDER DEL PROCESO:</t>
    </r>
    <r>
      <rPr>
        <sz val="14"/>
        <rFont val="Arial Narrow"/>
        <family val="2"/>
      </rPr>
      <t xml:space="preserve"> Alicia Janeth Peña Sánchez</t>
    </r>
  </si>
  <si>
    <t>Posibilidad de afectación económica y reputacional por daño en la salud de los funcionarios del proceso por presencia de acaros y/o otros agentes biológicos que pueden generar enfermedades laborales.</t>
  </si>
  <si>
    <t>Posibilidad de afectación económica y reputacional por recibir o solicitar cualquier dádiva o beneficio a nombre propio o de terceros al manipular/ incluir / extraer documentos a cualquier expediente en custodia del archivo central.</t>
  </si>
  <si>
    <t>Posibilidad de afectación económica y reputacional por utilizar información en beneficio propio o de un tercero</t>
  </si>
  <si>
    <t>Cumplir el procedimiento de préstamo de documentos.</t>
  </si>
  <si>
    <t>Cumplir el procedimiento de PQSRD</t>
  </si>
  <si>
    <t>Información almacena en el onedrive</t>
  </si>
  <si>
    <t xml:space="preserve">Solicitud a gestión ambiental del cronograma </t>
  </si>
  <si>
    <t>Solicitud de EPP</t>
  </si>
  <si>
    <t>Confirmación del cumplimiento del protocolo de limpieza por parte del personal de aseo</t>
  </si>
  <si>
    <t>Cumplimiento al procedimiento de préstamo de documentos., diligenciando los respectivos formatos</t>
  </si>
  <si>
    <t>Planilla de control de visita al archivo central diligenciada</t>
  </si>
  <si>
    <t>Correo u oficio a los colaboradores del área de Atención al Ciudadano y Gestión Documental donde se notifique la responsabilidad de la información que tiene a su cargo.</t>
  </si>
  <si>
    <t>Anualmente recordar el acuerdo a los colaboradores del área de Atención al  Ciudadano y Gestión Documental.</t>
  </si>
  <si>
    <t>Cumplimiento del procedimiento de PQRSD</t>
  </si>
  <si>
    <t>Planillas diligenciadas y firmadas de la entrega de correspondencia con relación a las radicadas en SIAC</t>
  </si>
  <si>
    <t xml:space="preserve">Realizar gestiones para la adquisición, instalación y ajuste de archivadores rodantes  y deshumidificadores </t>
  </si>
  <si>
    <t>Por pérdida de información, deterioro o inadecuada manipulación (No acceso a la información pública,
Pérdida de la memoria institucional
Deterioro de la documentación)</t>
  </si>
  <si>
    <t xml:space="preserve"> Debido a procedimientos inadecuados frente a la gestión de la memoria institucional (Incumplimiento del procedimiento de préstamos por parte de los funcionarios del proceso, Manipulación de archivos de conservación total por ausencia de archivos digitalizados).</t>
  </si>
  <si>
    <t xml:space="preserve">Posibilidad de afectación económica y reputaciones por pérdida de información, deterioro o inadecuada manipulación, debido a procedimientos inadecuados frente a la gestión de la memoria institucional. 
                                   </t>
  </si>
  <si>
    <t xml:space="preserve"> Para el periodo reportado, con corte a 30-04-2023, se tramitaron 27 préstamos cumpliendo con el procedimiento; no se materializó el riesgo. </t>
  </si>
  <si>
    <t>Para el periodo reportado, con corte de abril 30 de 2023, se registraron en SIAC 198 PQRSD, se cumplió con el procedimiento. No se materializó el riesgo.</t>
  </si>
  <si>
    <t>Para el periodo reportado, con corte de abril 30 de 2023, no se materializó el riesgo, En la actualidad  se están diglienciando los estudios previos y solicitando las respectivas cotizaciones.</t>
  </si>
  <si>
    <t>Entrega de los estudios previos y solicitud de inclusión el el  Plan de acción de 2023</t>
  </si>
  <si>
    <t>Junio de 2023</t>
  </si>
  <si>
    <t xml:space="preserve">Para el periodo reportado, con corte de abril 30 de 2023, no se materializó el riesgo. Toda la información que genera cada uno de los funcionarios se guarda en el onedrive desde el correo institucional de cada uno.  
</t>
  </si>
  <si>
    <t>Para el periodo reportado, con corte de abril 30 de 2023, no se materializó el riesgo; se realiza el protocolo de limpieza por personal de servicios generales</t>
  </si>
  <si>
    <t>Cada 15 días se debe realizar limpieza al archivo, de acuerdo al protocolo definido y se registra en planilla de control.</t>
  </si>
  <si>
    <t>Para el periodo reportado, con corte de abril 30 de 2023, no se materializó el riesgo; mediante correo enviado a SST el 29 de febrero de 2023, se solicitó la entrega de los EPP</t>
  </si>
  <si>
    <t>Para el periodo reportado, con corte de abril 30 de 2023, no se materializó el riesgo; para el ingreso de visitas al archivo central, se encuentra la planilla diligenciada con 9 registros.</t>
  </si>
  <si>
    <t>Para el periodo reportado, con corte de abril 30 de 2023, a partir de solicitud por correo electrónico se prestaron 27 expedientes y por correo se enviaron 27 documentos, se realiza el debido diligenciamiento de la planilla de préstamos documentales GDO-FO-08, para el cumplimiento del procedimiento;  no se materializó el riesgo</t>
  </si>
  <si>
    <t xml:space="preserve">Para el periodo reportado, con corte de abril 30 de 2023, se entregó oficio físico a los colaborares el cumplimiento la seguridad de la información y tratamiento de datos. No se materializó el riesgo. </t>
  </si>
  <si>
    <t xml:space="preserve">Se realiza el debido proceso para el préstamo de documentos: se apoya enviando la información al solicitante de manera digital, si esta es no es muy extensa. Si la información pertenece a carpetas o documentos extensos se diligencia la tarjeta de afuera y una hoja de préstamo, en el cual se consignan los datos del documento. 
Durante el 2° cuatrimestre se han prestado 30 documentos, como evidencia se muestran las planillas de préstamo. El riesgo no se ha materializado 
</t>
  </si>
  <si>
    <t>Para el periodo reportado, con corte de abril 30 de 2023, no se materializó el riesgo; se solitó verbalmente en el mes de abril de 2023 y se legalizó  mediante correo electrónico hoy 12 de mayo de 2023  enviado al área de gestión ambiental la solicitud de las actividades de fumigación y desratización.</t>
  </si>
  <si>
    <t>Se evidencia a través del Sharepoint del líder de área, el cargue y resguardo de la información. El riesgo no se ha materializado</t>
  </si>
  <si>
    <t>Para la adquisición de los elementos deshumidificador y archivo rodante es necesario que la entidad cuente con las ciertas caracteristicas en la sede calle 18, por ende se hará necesario realizar modificaciones en el área. 
El riesgo no se ha materializado</t>
  </si>
  <si>
    <t>A través del SIAC, se verifica el procedimiento para la radicación de PQRSD, se evidencia durante los meses de mayo a julio la radicación de 227 PQRSD.  El riesgo no se ha materializado</t>
  </si>
  <si>
    <t xml:space="preserve">Se solicitó el cronograma al proceso gestión ambiental, sin embargo, no se ha desarrollado el proceso contractual para realizar la fumigación en la sede calle 18. No se ha materializado el riesgo </t>
  </si>
  <si>
    <t xml:space="preserve">Los elementos de EPP fueron entregados al área, se firmo la planilla respectiva.  No se ha materializado el riesgo </t>
  </si>
  <si>
    <t xml:space="preserve">Se verifica a través del planilla, personal servicios generales para aseo. La realización de los procesos de aseo y desinfección de las instalaciones de la sede calle 18.No se ha materializado el riesgo </t>
  </si>
  <si>
    <t>Se cuenta con 3 colaboradores de Gestión documental y 3 colaboradores servicio al ciudadano; mismos que han firmado los documentos mediante el cual se les comunica sus responsabilidades frente al proceso. Se presenta como evidencia los oficios respectivos. no se ha materializado el riesgo.</t>
  </si>
  <si>
    <t>Durante los meses de mayo a julio, solo se evidencia el ingreso de una persona, misma que diligencio el formato de control de acceso al archivo central. Se presenta evidencia y no se ha materializado el riesgo.</t>
  </si>
  <si>
    <t xml:space="preserve">Evidencias </t>
  </si>
  <si>
    <t>https://etitc.edu.co/es/page/atencionciudadano&amp;informes</t>
  </si>
  <si>
    <t>Realización y entrega de estudios previos con los respectivos soportes</t>
  </si>
  <si>
    <t>https://itceduco-my.sharepoint.com/:f:/g/personal/plandeaccion_itc_edu_co/EiGNpMoAGF5PmlAemNhOyGMBd-bkqLal3aAbA2x8XebUMA?e=m4TuDF</t>
  </si>
  <si>
    <t>Mediante planilla fisica identificada con el código GDO-FO-05, se observa la entrega de  correspondencia física desde la fechas del 11 de enero al 7 de noviembre debidamente firmada y diligenciada,  y el mismo formato que inicia el 10 de enero con último registro del 3 de noviembre, se observa la entrega de las PQRSD que llegan fisico a la oficina de Atención al Ciudadano, con la firma de la persona que hace la recpción final del documento para proceder con la respuesta, acción que permite la mitigación del riesgo identificado.</t>
  </si>
  <si>
    <t>A través de correo electrónico institucional del 24 de febrero de 2023, se observa que la lider del proceso de Gestión Documental realizó el envío de los Estudios Previos y 3 cotizaciones para la adquisición, instalación y ajuste de archivadores rodantes del archivo central, a la profesional que apoya a la Vicerrectoria Administrativa y Ffinanciera, del cual no se observa respuesta ni reenvio del correo debido a que la profesional e4ncargada del proceso de GD, manifiesta que al proceso no le asignaron presupuesto.
En cuanto a los deshumidificadores, este estudio no se realizó debido a que esta solicitud de contratacion se realizara una vez la parte fisica del archivo central se encuentre en condiciones óptimas. 
Estas acciones deben ser fortalecidas para que no se presente la materializacion del riesgo identificado.</t>
  </si>
  <si>
    <t>Se observa que la lider del proceso durante la vigencia ha ingresado la documentacion generada en el área en el one drive, evidenciando como última actualización el dia 8 de noviembre con la presentación al Comité Institucional de Gestión y Desempeño el resultado de PQRSD del tercer trimestre 2023, informe presentado y publicados en el portal web Institucional, acciones que permiten la mitigación del riesgo identificado.</t>
  </si>
  <si>
    <t>Mediante correo electrónico del 29 de marzo y 11 de mayo se observa la solicitud a Seguridad y Salud en el Trabajo de los EPP, el cual incluye guantes, tapabocas, gafas de seguridad, bata para archivo y overol, en correo del 12 de mayo el profesional de SST indica que se entregarán individualmente y cada solicitante deber diligenciar planilla de entrega con el registro de los elementos entegados, acción que mitiga el riesgo identificado.</t>
  </si>
  <si>
    <t>A través de planilla de control de ingreso se observa que los días lunes o martes y jueves,  el personal de aseo realiza la limpieza de la calle 18 en general, planilla que registra los datos desde el  31 de agosto hasta el 9 de noviembre, actividad que permite controlar el riesgo identificado.</t>
  </si>
  <si>
    <t>Se observa que mediante planilla física de prestamo de documentos, se lleva el control de prestamos realizados a través del formato GDO-FO-08, el cual a la fecha presenta el registro de 67 prestamos internos correspondientes a contratos e historias laborales, dicha información se encuentra desde las fechas del 24 de enero de 2023 hasta el 3 de noviembre del mismo año, debidamente firmado y diligenciado, acción que permite la mitigación del riesgo.</t>
  </si>
  <si>
    <t>Mediante correo electrónico del 8 de marzo se observa la solicitud a Gestion Ambiental para la fumigación y control de roedores del archivo central calle 18, el cual tiene respuesta del 20 de octubre informando la ejecucion el 28 de octubre 9am, mediante correo del 2 de noviembre lo reprograman para el martes 7 de noviembre, incluyendo lavado de tanques de almacenamiento de agua potable, control de roedores y fumigacion. Acción que mitiga el riesgo identificado.</t>
  </si>
  <si>
    <t xml:space="preserve">Se observa la planilla de control de ingreso al archivo central,  la cual cuenta con 5 ingresos del 9 de marzo al 11 de mayo, de las áreas mantenimieto locativo, calidad y planta fisica, accion que permite controlar el riesgo de extraer documentos o cualquier expediente en custodia del archivo central.. </t>
  </si>
  <si>
    <t>Mediante oficio informativo, la lider de Gestion Documental,  informa las politicas de seguridad de la información a los 8 colaboradores del área, documentos que fueron  entregados en fisico con fecha del 13 de febrero con su respectiva firma de recibido y una persona el 20 de abril, acción  que permite mitigar el riesgo identificado.</t>
  </si>
  <si>
    <t>Fecha de actualización  09/11/2023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</si>
</sst>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u/>
      <sz val="11"/>
      <color theme="10"/>
      <name val="Calibri"/>
      <family val="2"/>
      <scheme val="minor"/>
    </font>
    <font>
      <sz val="11"/>
      <name val="Arial"/>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00"/>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3" fillId="0" borderId="0" applyFont="0" applyFill="0" applyBorder="0" applyAlignment="0" applyProtection="0"/>
    <xf numFmtId="0" fontId="45" fillId="0" borderId="0"/>
    <xf numFmtId="0" fontId="46" fillId="0" borderId="0"/>
    <xf numFmtId="0" fontId="5" fillId="0" borderId="0"/>
    <xf numFmtId="0" fontId="66" fillId="0" borderId="0" applyNumberFormat="0" applyFill="0" applyBorder="0" applyAlignment="0" applyProtection="0"/>
  </cellStyleXfs>
  <cellXfs count="419">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1"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22" fillId="13" borderId="12"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4" xfId="0" applyFont="1" applyBorder="1" applyAlignment="1">
      <alignment horizontal="center" vertical="center" wrapText="1"/>
    </xf>
    <xf numFmtId="0" fontId="64" fillId="0" borderId="74" xfId="0" applyFont="1" applyBorder="1" applyAlignment="1">
      <alignment vertical="center" wrapText="1"/>
    </xf>
    <xf numFmtId="0" fontId="1" fillId="0" borderId="2" xfId="0" applyFont="1" applyBorder="1" applyAlignment="1">
      <alignment horizontal="center" vertical="center"/>
    </xf>
    <xf numFmtId="0" fontId="60" fillId="7" borderId="21" xfId="0" applyFont="1" applyFill="1" applyBorder="1" applyAlignment="1">
      <alignment horizontal="center" vertical="center" textRotation="90"/>
    </xf>
    <xf numFmtId="0" fontId="1" fillId="0" borderId="21" xfId="0" applyFont="1" applyBorder="1" applyAlignment="1" applyProtection="1">
      <alignment horizontal="center" vertical="top" wrapText="1"/>
      <protection locked="0"/>
    </xf>
    <xf numFmtId="0" fontId="1" fillId="0" borderId="21" xfId="0" applyFont="1" applyBorder="1" applyAlignment="1" applyProtection="1">
      <alignment horizontal="center" vertical="top"/>
      <protection hidden="1"/>
    </xf>
    <xf numFmtId="0" fontId="1"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14" fontId="1" fillId="0" borderId="21" xfId="0" applyNumberFormat="1" applyFont="1" applyBorder="1" applyAlignment="1" applyProtection="1">
      <alignment horizontal="center" vertical="top" wrapText="1"/>
      <protection locked="0"/>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9" fontId="1" fillId="0" borderId="21" xfId="0" applyNumberFormat="1" applyFont="1" applyBorder="1" applyAlignment="1" applyProtection="1">
      <alignment horizontal="left" vertical="top"/>
      <protection hidden="1"/>
    </xf>
    <xf numFmtId="0" fontId="4" fillId="0" borderId="21" xfId="0" applyFont="1" applyBorder="1" applyAlignment="1" applyProtection="1">
      <alignment horizontal="left" vertical="top" textRotation="90"/>
      <protection hidden="1"/>
    </xf>
    <xf numFmtId="0" fontId="0" fillId="0" borderId="0" xfId="0" applyAlignment="1">
      <alignment horizontal="left" wrapText="1"/>
    </xf>
    <xf numFmtId="0" fontId="65" fillId="0" borderId="0" xfId="0" applyFont="1" applyAlignment="1">
      <alignment horizontal="left" vertical="center" wrapText="1"/>
    </xf>
    <xf numFmtId="0" fontId="1" fillId="0" borderId="0" xfId="0" applyFont="1" applyAlignment="1">
      <alignment horizontal="left"/>
    </xf>
    <xf numFmtId="9" fontId="1" fillId="0" borderId="21" xfId="1" applyFont="1" applyBorder="1" applyAlignment="1">
      <alignment horizontal="left" vertical="top" wrapText="1"/>
    </xf>
    <xf numFmtId="9" fontId="1" fillId="0" borderId="21" xfId="0" applyNumberFormat="1" applyFont="1" applyBorder="1" applyAlignment="1" applyProtection="1">
      <alignment horizontal="left" vertical="top" wrapText="1"/>
      <protection hidden="1"/>
    </xf>
    <xf numFmtId="0" fontId="1" fillId="0" borderId="21" xfId="0" applyFont="1" applyBorder="1" applyAlignment="1" applyProtection="1">
      <alignment horizontal="left" vertical="top" wrapText="1"/>
      <protection locked="0"/>
    </xf>
    <xf numFmtId="0" fontId="45" fillId="0" borderId="0" xfId="0" applyFont="1" applyAlignment="1">
      <alignment horizontal="left" vertical="top" wrapText="1"/>
    </xf>
    <xf numFmtId="0" fontId="65"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2" fillId="0" borderId="21" xfId="0" applyFont="1" applyBorder="1" applyAlignment="1" applyProtection="1">
      <alignment horizontal="center" vertical="center" wrapText="1"/>
      <protection locked="0"/>
    </xf>
    <xf numFmtId="9" fontId="1" fillId="0" borderId="75" xfId="0" applyNumberFormat="1" applyFont="1" applyBorder="1" applyAlignment="1" applyProtection="1">
      <alignment horizontal="left" vertical="center" wrapText="1"/>
      <protection hidden="1"/>
    </xf>
    <xf numFmtId="0" fontId="4" fillId="0" borderId="75" xfId="0" applyFont="1" applyBorder="1" applyAlignment="1" applyProtection="1">
      <alignment horizontal="left" vertical="center" wrapText="1"/>
      <protection hidden="1"/>
    </xf>
    <xf numFmtId="0" fontId="4" fillId="0" borderId="75" xfId="0" applyFont="1" applyBorder="1" applyAlignment="1" applyProtection="1">
      <alignment horizontal="left" vertical="center"/>
      <protection hidden="1"/>
    </xf>
    <xf numFmtId="9" fontId="1" fillId="0" borderId="21" xfId="0" applyNumberFormat="1"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14" fontId="1" fillId="0" borderId="21" xfId="0" applyNumberFormat="1"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hidden="1"/>
    </xf>
    <xf numFmtId="0" fontId="1" fillId="0" borderId="0" xfId="0" applyFont="1" applyAlignment="1">
      <alignment horizontal="left" vertical="center" wrapText="1"/>
    </xf>
    <xf numFmtId="14" fontId="66" fillId="0" borderId="21" xfId="5" applyNumberFormat="1" applyBorder="1" applyAlignment="1" applyProtection="1">
      <alignment horizontal="left" vertical="center" wrapText="1"/>
      <protection locked="0"/>
    </xf>
    <xf numFmtId="0" fontId="1" fillId="16" borderId="21" xfId="0" applyFont="1" applyFill="1" applyBorder="1" applyAlignment="1" applyProtection="1">
      <alignment horizontal="center" vertical="center" wrapText="1"/>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56" fillId="0" borderId="63" xfId="0" applyFont="1" applyBorder="1" applyAlignment="1">
      <alignment horizontal="left" vertical="center"/>
    </xf>
    <xf numFmtId="0" fontId="56" fillId="0" borderId="64" xfId="0" applyFont="1" applyBorder="1" applyAlignment="1">
      <alignment horizontal="left" vertical="center"/>
    </xf>
    <xf numFmtId="0" fontId="56" fillId="0" borderId="68" xfId="0" applyFont="1" applyBorder="1" applyAlignment="1">
      <alignment horizontal="left" vertical="center"/>
    </xf>
    <xf numFmtId="0" fontId="56" fillId="0" borderId="65" xfId="0" applyFont="1" applyBorder="1" applyAlignment="1">
      <alignment horizontal="left" vertical="center"/>
    </xf>
    <xf numFmtId="0" fontId="60" fillId="7" borderId="21" xfId="0" applyFont="1" applyFill="1" applyBorder="1" applyAlignment="1">
      <alignment horizontal="center" vertical="center" wrapText="1"/>
    </xf>
    <xf numFmtId="0" fontId="67" fillId="0" borderId="72" xfId="0" applyFont="1" applyBorder="1" applyAlignment="1">
      <alignment horizontal="left" vertical="center" wrapText="1"/>
    </xf>
    <xf numFmtId="0" fontId="67" fillId="0" borderId="71" xfId="0" applyFont="1" applyBorder="1" applyAlignment="1">
      <alignment horizontal="left" vertical="center"/>
    </xf>
    <xf numFmtId="0" fontId="67" fillId="0" borderId="73" xfId="0" applyFont="1" applyBorder="1" applyAlignment="1">
      <alignment horizontal="left" vertical="center"/>
    </xf>
    <xf numFmtId="0" fontId="61" fillId="0" borderId="72" xfId="0" applyFont="1" applyBorder="1" applyAlignment="1">
      <alignment horizontal="left" vertical="center"/>
    </xf>
    <xf numFmtId="0" fontId="61" fillId="0" borderId="71" xfId="0" applyFont="1" applyBorder="1" applyAlignment="1">
      <alignment horizontal="left" vertical="center"/>
    </xf>
    <xf numFmtId="0" fontId="61" fillId="0" borderId="73" xfId="0" applyFont="1" applyBorder="1" applyAlignment="1">
      <alignment horizontal="left" vertical="center"/>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horizontal="left" vertical="center" textRotation="90" wrapText="1"/>
    </xf>
    <xf numFmtId="0" fontId="58" fillId="0" borderId="21" xfId="0" applyFont="1" applyBorder="1" applyAlignment="1" applyProtection="1">
      <alignment horizontal="center" wrapText="1"/>
      <protection locked="0"/>
    </xf>
    <xf numFmtId="0" fontId="60" fillId="7" borderId="21" xfId="0" applyFont="1" applyFill="1" applyBorder="1" applyAlignment="1">
      <alignment horizontal="center" vertical="center"/>
    </xf>
    <xf numFmtId="0" fontId="60" fillId="7" borderId="75"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57" fillId="0" borderId="21" xfId="0" applyFont="1" applyBorder="1" applyAlignment="1" applyProtection="1">
      <alignment horizontal="center" vertical="center"/>
      <protection locked="0"/>
    </xf>
    <xf numFmtId="0" fontId="64" fillId="0" borderId="74" xfId="0" applyFont="1" applyBorder="1" applyAlignment="1">
      <alignment horizontal="center" vertical="center" wrapText="1"/>
    </xf>
    <xf numFmtId="0" fontId="65" fillId="0" borderId="74" xfId="0" applyFont="1" applyBorder="1" applyAlignment="1">
      <alignment horizontal="center" vertical="center" wrapText="1"/>
    </xf>
    <xf numFmtId="0" fontId="48" fillId="0" borderId="72" xfId="0" applyFont="1" applyBorder="1" applyAlignment="1">
      <alignment horizontal="left" vertical="center" wrapText="1"/>
    </xf>
    <xf numFmtId="0" fontId="48" fillId="0" borderId="71" xfId="0" applyFont="1" applyBorder="1" applyAlignment="1">
      <alignment horizontal="left" vertical="center" wrapText="1"/>
    </xf>
    <xf numFmtId="0" fontId="48" fillId="0" borderId="73" xfId="0" applyFont="1" applyBorder="1" applyAlignment="1">
      <alignment horizontal="left" vertical="center" wrapText="1"/>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3" fillId="0" borderId="21" xfId="0" applyFont="1" applyBorder="1" applyAlignment="1">
      <alignment horizontal="left" vertical="center" wrapText="1"/>
    </xf>
    <xf numFmtId="0" fontId="60" fillId="7" borderId="21" xfId="0" applyFont="1" applyFill="1" applyBorder="1" applyAlignment="1">
      <alignment horizontal="center" vertical="center" textRotation="90"/>
    </xf>
    <xf numFmtId="0" fontId="60" fillId="7" borderId="21" xfId="0" applyFont="1" applyFill="1" applyBorder="1" applyAlignment="1">
      <alignment horizontal="center" vertical="top" wrapText="1"/>
    </xf>
    <xf numFmtId="0" fontId="59" fillId="7" borderId="72" xfId="0" applyFont="1" applyFill="1" applyBorder="1" applyAlignment="1">
      <alignment horizontal="center" vertical="center"/>
    </xf>
    <xf numFmtId="0" fontId="59" fillId="7" borderId="73" xfId="0" applyFont="1" applyFill="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9" fontId="1" fillId="0" borderId="21" xfId="0" applyNumberFormat="1" applyFont="1" applyBorder="1" applyAlignment="1" applyProtection="1">
      <alignment horizontal="center" vertical="center" wrapText="1"/>
      <protection hidden="1"/>
    </xf>
    <xf numFmtId="0" fontId="4" fillId="0" borderId="21" xfId="0" applyFont="1" applyBorder="1" applyAlignment="1" applyProtection="1">
      <alignment horizontal="center" vertical="center"/>
      <protection hidden="1"/>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22" xfId="0" applyFont="1" applyBorder="1" applyAlignment="1">
      <alignment horizontal="center" vertical="center"/>
    </xf>
    <xf numFmtId="0" fontId="56" fillId="0" borderId="67" xfId="0" applyFont="1" applyBorder="1" applyAlignment="1">
      <alignment horizontal="left" vertical="center"/>
    </xf>
    <xf numFmtId="0" fontId="56" fillId="0" borderId="66" xfId="0" applyFont="1" applyBorder="1" applyAlignment="1">
      <alignment horizontal="left" vertical="center"/>
    </xf>
    <xf numFmtId="9" fontId="1" fillId="0" borderId="75" xfId="0" applyNumberFormat="1" applyFont="1" applyBorder="1" applyAlignment="1" applyProtection="1">
      <alignment horizontal="left" vertical="center" wrapText="1"/>
      <protection hidden="1"/>
    </xf>
    <xf numFmtId="9" fontId="1" fillId="0" borderId="22" xfId="0" applyNumberFormat="1" applyFont="1" applyBorder="1" applyAlignment="1" applyProtection="1">
      <alignment horizontal="left" vertical="center" wrapText="1"/>
      <protection hidden="1"/>
    </xf>
    <xf numFmtId="0" fontId="1" fillId="0" borderId="21" xfId="0" applyFont="1" applyBorder="1" applyAlignment="1" applyProtection="1">
      <alignment horizontal="center" vertical="center"/>
      <protection locked="0"/>
    </xf>
    <xf numFmtId="0" fontId="4" fillId="0" borderId="75" xfId="0" applyFont="1" applyBorder="1" applyAlignment="1" applyProtection="1">
      <alignment horizontal="center" vertical="center" wrapText="1"/>
      <protection hidden="1"/>
    </xf>
    <xf numFmtId="0" fontId="4" fillId="0" borderId="76"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9" fontId="1" fillId="0" borderId="76" xfId="0" applyNumberFormat="1" applyFont="1" applyBorder="1" applyAlignment="1" applyProtection="1">
      <alignment horizontal="left" vertical="center" wrapText="1"/>
      <protection hidden="1"/>
    </xf>
    <xf numFmtId="0" fontId="4" fillId="0" borderId="75" xfId="0" applyFont="1" applyBorder="1" applyAlignment="1" applyProtection="1">
      <alignment horizontal="left" vertical="center"/>
      <protection hidden="1"/>
    </xf>
    <xf numFmtId="0" fontId="4" fillId="0" borderId="22" xfId="0" applyFont="1" applyBorder="1" applyAlignment="1" applyProtection="1">
      <alignment horizontal="left" vertical="center"/>
      <protection hidden="1"/>
    </xf>
    <xf numFmtId="9" fontId="1" fillId="0" borderId="75" xfId="0" applyNumberFormat="1" applyFont="1" applyBorder="1" applyAlignment="1" applyProtection="1">
      <alignment horizontal="left" vertical="center" wrapText="1"/>
      <protection locked="0"/>
    </xf>
    <xf numFmtId="9" fontId="1" fillId="0" borderId="76" xfId="0" applyNumberFormat="1" applyFont="1" applyBorder="1" applyAlignment="1" applyProtection="1">
      <alignment horizontal="left" vertical="center" wrapText="1"/>
      <protection locked="0"/>
    </xf>
    <xf numFmtId="9" fontId="1" fillId="0" borderId="22" xfId="0" applyNumberFormat="1" applyFont="1" applyBorder="1" applyAlignment="1" applyProtection="1">
      <alignment horizontal="left" vertical="center" wrapText="1"/>
      <protection locked="0"/>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75" xfId="0" applyFont="1" applyBorder="1" applyAlignment="1" applyProtection="1">
      <alignment horizontal="center" vertical="center" wrapText="1"/>
      <protection locked="0"/>
    </xf>
    <xf numFmtId="0" fontId="1" fillId="0" borderId="76"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4" fillId="0" borderId="75" xfId="0" applyFont="1" applyBorder="1" applyAlignment="1" applyProtection="1">
      <alignment horizontal="left" vertical="center" wrapText="1"/>
      <protection hidden="1"/>
    </xf>
    <xf numFmtId="0" fontId="4" fillId="0" borderId="76" xfId="0" applyFont="1" applyBorder="1" applyAlignment="1" applyProtection="1">
      <alignment horizontal="left" vertical="center" wrapText="1"/>
      <protection hidden="1"/>
    </xf>
    <xf numFmtId="0" fontId="4" fillId="0" borderId="22" xfId="0" applyFont="1" applyBorder="1" applyAlignment="1" applyProtection="1">
      <alignment horizontal="left" vertical="center" wrapText="1"/>
      <protection hidden="1"/>
    </xf>
    <xf numFmtId="0" fontId="4" fillId="0" borderId="76" xfId="0" applyFont="1" applyBorder="1" applyAlignment="1" applyProtection="1">
      <alignment horizontal="left" vertical="center"/>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hidden="1"/>
    </xf>
    <xf numFmtId="0" fontId="24" fillId="0" borderId="0" xfId="0" applyFont="1" applyAlignment="1">
      <alignment horizontal="center" vertical="center" wrapText="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82">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00B05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CC00"/>
      <color rgb="FFFFFF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240631</xdr:colOff>
      <xdr:row>0</xdr:row>
      <xdr:rowOff>0</xdr:rowOff>
    </xdr:from>
    <xdr:to>
      <xdr:col>2</xdr:col>
      <xdr:colOff>571499</xdr:colOff>
      <xdr:row>2</xdr:row>
      <xdr:rowOff>0</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3552" y="0"/>
          <a:ext cx="330868" cy="3509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2/PAAC%202022/2&#186;%20L&#204;NEA%20DE%20DEFENCSA/GESTI&#211;N%20DE%20RECURSOS%20F&#205;SIC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landeaccion\OneDrive%20-%20Escuela%20Tecnologica%20Instituto%20Tecnico%20Central\A.%20Vigencia%202022\PAAC%202022\2&#186;%20L&#204;NEA%20DE%20DEFENCSA\GESTI&#211;N%20DE%20RECURSOS%20F&#205;SIC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DRES\Downloads\Matriz%20de%20riesgos_RECURSOS%20F&#205;SICOS%20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Impact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Impac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81" dataDxfId="80">
  <autoFilter ref="B209:C219" xr:uid="{00000000-0009-0000-0100-000001000000}"/>
  <tableColumns count="2">
    <tableColumn id="1" xr3:uid="{00000000-0010-0000-0000-000001000000}" name="Criterios" dataDxfId="79"/>
    <tableColumn id="2" xr3:uid="{00000000-0010-0000-0000-000002000000}" name="Subcriterios" dataDxfId="78"/>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g/personal/plandeaccion_itc_edu_co/EiGNpMoAGF5PmlAemNhOyGMBd-bkqLal3aAbA2x8XebUMA?e=m4TuDF" TargetMode="External"/><Relationship Id="rId3" Type="http://schemas.openxmlformats.org/officeDocument/2006/relationships/hyperlink" Target="../../../../../../:f:/g/personal/plandeaccion_itc_edu_co/EiGNpMoAGF5PmlAemNhOyGMBd-bkqLal3aAbA2x8XebUMA?e=m4TuDF" TargetMode="External"/><Relationship Id="rId7" Type="http://schemas.openxmlformats.org/officeDocument/2006/relationships/hyperlink" Target="../../../../../../:f:/g/personal/plandeaccion_itc_edu_co/EiGNpMoAGF5PmlAemNhOyGMBd-bkqLal3aAbA2x8XebUMA?e=m4TuDF" TargetMode="External"/><Relationship Id="rId12" Type="http://schemas.openxmlformats.org/officeDocument/2006/relationships/drawing" Target="../drawings/drawing1.xml"/><Relationship Id="rId2" Type="http://schemas.openxmlformats.org/officeDocument/2006/relationships/hyperlink" Target="../../../../../../:f:/g/personal/plandeaccion_itc_edu_co/EiGNpMoAGF5PmlAemNhOyGMBd-bkqLal3aAbA2x8XebUMA?e=m4TuDF" TargetMode="External"/><Relationship Id="rId1" Type="http://schemas.openxmlformats.org/officeDocument/2006/relationships/hyperlink" Target="https://etitc.edu.co/es/page/atencionciudadano&amp;informes" TargetMode="External"/><Relationship Id="rId6" Type="http://schemas.openxmlformats.org/officeDocument/2006/relationships/hyperlink" Target="../../../../../../:f:/g/personal/plandeaccion_itc_edu_co/EiGNpMoAGF5PmlAemNhOyGMBd-bkqLal3aAbA2x8XebUMA?e=m4TuDF" TargetMode="External"/><Relationship Id="rId11" Type="http://schemas.openxmlformats.org/officeDocument/2006/relationships/printerSettings" Target="../printerSettings/printerSettings2.bin"/><Relationship Id="rId5" Type="http://schemas.openxmlformats.org/officeDocument/2006/relationships/hyperlink" Target="../../../../../../:f:/g/personal/plandeaccion_itc_edu_co/EiGNpMoAGF5PmlAemNhOyGMBd-bkqLal3aAbA2x8XebUMA?e=m4TuDF" TargetMode="External"/><Relationship Id="rId10" Type="http://schemas.openxmlformats.org/officeDocument/2006/relationships/hyperlink" Target="../../../../../../:f:/g/personal/plandeaccion_itc_edu_co/EiGNpMoAGF5PmlAemNhOyGMBd-bkqLal3aAbA2x8XebUMA?e=m4TuDF" TargetMode="External"/><Relationship Id="rId4" Type="http://schemas.openxmlformats.org/officeDocument/2006/relationships/hyperlink" Target="../../../../../../:f:/g/personal/plandeaccion_itc_edu_co/EiGNpMoAGF5PmlAemNhOyGMBd-bkqLal3aAbA2x8XebUMA?e=m4TuDF" TargetMode="External"/><Relationship Id="rId9" Type="http://schemas.openxmlformats.org/officeDocument/2006/relationships/hyperlink" Target="../../../../../../:f:/g/personal/plandeaccion_itc_edu_co/EiGNpMoAGF5PmlAemNhOyGMBd-bkqLal3aAbA2x8XebUMA?e=m4Tu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4" zoomScale="130" zoomScaleNormal="130" workbookViewId="0">
      <selection activeCell="E34" sqref="E34:F34"/>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67" t="s">
        <v>163</v>
      </c>
      <c r="C2" s="168"/>
      <c r="D2" s="168"/>
      <c r="E2" s="168"/>
      <c r="F2" s="168"/>
      <c r="G2" s="168"/>
      <c r="H2" s="169"/>
    </row>
    <row r="3" spans="2:8" x14ac:dyDescent="0.25">
      <c r="B3" s="76"/>
      <c r="C3" s="77"/>
      <c r="D3" s="77"/>
      <c r="E3" s="77"/>
      <c r="F3" s="77"/>
      <c r="G3" s="77"/>
      <c r="H3" s="78"/>
    </row>
    <row r="4" spans="2:8" ht="63" customHeight="1" x14ac:dyDescent="0.25">
      <c r="B4" s="170" t="s">
        <v>206</v>
      </c>
      <c r="C4" s="171"/>
      <c r="D4" s="171"/>
      <c r="E4" s="171"/>
      <c r="F4" s="171"/>
      <c r="G4" s="171"/>
      <c r="H4" s="172"/>
    </row>
    <row r="5" spans="2:8" ht="63" customHeight="1" x14ac:dyDescent="0.25">
      <c r="B5" s="173"/>
      <c r="C5" s="174"/>
      <c r="D5" s="174"/>
      <c r="E5" s="174"/>
      <c r="F5" s="174"/>
      <c r="G5" s="174"/>
      <c r="H5" s="175"/>
    </row>
    <row r="6" spans="2:8" ht="16.5" x14ac:dyDescent="0.25">
      <c r="B6" s="176" t="s">
        <v>161</v>
      </c>
      <c r="C6" s="177"/>
      <c r="D6" s="177"/>
      <c r="E6" s="177"/>
      <c r="F6" s="177"/>
      <c r="G6" s="177"/>
      <c r="H6" s="178"/>
    </row>
    <row r="7" spans="2:8" ht="95.25" customHeight="1" x14ac:dyDescent="0.25">
      <c r="B7" s="186" t="s">
        <v>166</v>
      </c>
      <c r="C7" s="187"/>
      <c r="D7" s="187"/>
      <c r="E7" s="187"/>
      <c r="F7" s="187"/>
      <c r="G7" s="187"/>
      <c r="H7" s="188"/>
    </row>
    <row r="8" spans="2:8" ht="16.5" x14ac:dyDescent="0.25">
      <c r="B8" s="112"/>
      <c r="C8" s="113"/>
      <c r="D8" s="113"/>
      <c r="E8" s="113"/>
      <c r="F8" s="113"/>
      <c r="G8" s="113"/>
      <c r="H8" s="114"/>
    </row>
    <row r="9" spans="2:8" ht="16.5" customHeight="1" x14ac:dyDescent="0.25">
      <c r="B9" s="179" t="s">
        <v>199</v>
      </c>
      <c r="C9" s="180"/>
      <c r="D9" s="180"/>
      <c r="E9" s="180"/>
      <c r="F9" s="180"/>
      <c r="G9" s="180"/>
      <c r="H9" s="181"/>
    </row>
    <row r="10" spans="2:8" ht="44.25" customHeight="1" x14ac:dyDescent="0.25">
      <c r="B10" s="179"/>
      <c r="C10" s="180"/>
      <c r="D10" s="180"/>
      <c r="E10" s="180"/>
      <c r="F10" s="180"/>
      <c r="G10" s="180"/>
      <c r="H10" s="181"/>
    </row>
    <row r="11" spans="2:8" ht="15.75" thickBot="1" x14ac:dyDescent="0.3">
      <c r="B11" s="101"/>
      <c r="C11" s="104"/>
      <c r="D11" s="109"/>
      <c r="E11" s="110"/>
      <c r="F11" s="110"/>
      <c r="G11" s="111"/>
      <c r="H11" s="105"/>
    </row>
    <row r="12" spans="2:8" ht="15.75" thickTop="1" x14ac:dyDescent="0.25">
      <c r="B12" s="101"/>
      <c r="C12" s="182" t="s">
        <v>162</v>
      </c>
      <c r="D12" s="183"/>
      <c r="E12" s="184" t="s">
        <v>200</v>
      </c>
      <c r="F12" s="185"/>
      <c r="G12" s="104"/>
      <c r="H12" s="105"/>
    </row>
    <row r="13" spans="2:8" ht="35.25" customHeight="1" x14ac:dyDescent="0.25">
      <c r="B13" s="101"/>
      <c r="C13" s="189" t="s">
        <v>193</v>
      </c>
      <c r="D13" s="190"/>
      <c r="E13" s="191" t="s">
        <v>198</v>
      </c>
      <c r="F13" s="192"/>
      <c r="G13" s="104"/>
      <c r="H13" s="105"/>
    </row>
    <row r="14" spans="2:8" ht="17.25" customHeight="1" x14ac:dyDescent="0.25">
      <c r="B14" s="101"/>
      <c r="C14" s="189" t="s">
        <v>194</v>
      </c>
      <c r="D14" s="190"/>
      <c r="E14" s="191" t="s">
        <v>196</v>
      </c>
      <c r="F14" s="192"/>
      <c r="G14" s="104"/>
      <c r="H14" s="105"/>
    </row>
    <row r="15" spans="2:8" ht="19.5" customHeight="1" x14ac:dyDescent="0.25">
      <c r="B15" s="101"/>
      <c r="C15" s="189" t="s">
        <v>195</v>
      </c>
      <c r="D15" s="190"/>
      <c r="E15" s="191" t="s">
        <v>197</v>
      </c>
      <c r="F15" s="192"/>
      <c r="G15" s="104"/>
      <c r="H15" s="105"/>
    </row>
    <row r="16" spans="2:8" ht="69.75" customHeight="1" x14ac:dyDescent="0.25">
      <c r="B16" s="101"/>
      <c r="C16" s="189" t="s">
        <v>164</v>
      </c>
      <c r="D16" s="190"/>
      <c r="E16" s="191" t="s">
        <v>165</v>
      </c>
      <c r="F16" s="192"/>
      <c r="G16" s="104"/>
      <c r="H16" s="105"/>
    </row>
    <row r="17" spans="2:8" ht="34.5" customHeight="1" x14ac:dyDescent="0.25">
      <c r="B17" s="101"/>
      <c r="C17" s="193" t="s">
        <v>2</v>
      </c>
      <c r="D17" s="194"/>
      <c r="E17" s="195" t="s">
        <v>207</v>
      </c>
      <c r="F17" s="196"/>
      <c r="G17" s="104"/>
      <c r="H17" s="105"/>
    </row>
    <row r="18" spans="2:8" ht="27.75" customHeight="1" x14ac:dyDescent="0.25">
      <c r="B18" s="101"/>
      <c r="C18" s="193" t="s">
        <v>3</v>
      </c>
      <c r="D18" s="194"/>
      <c r="E18" s="195" t="s">
        <v>208</v>
      </c>
      <c r="F18" s="196"/>
      <c r="G18" s="104"/>
      <c r="H18" s="105"/>
    </row>
    <row r="19" spans="2:8" ht="28.5" customHeight="1" x14ac:dyDescent="0.25">
      <c r="B19" s="101"/>
      <c r="C19" s="193" t="s">
        <v>41</v>
      </c>
      <c r="D19" s="194"/>
      <c r="E19" s="195" t="s">
        <v>209</v>
      </c>
      <c r="F19" s="196"/>
      <c r="G19" s="104"/>
      <c r="H19" s="105"/>
    </row>
    <row r="20" spans="2:8" ht="72.75" customHeight="1" x14ac:dyDescent="0.25">
      <c r="B20" s="101"/>
      <c r="C20" s="193" t="s">
        <v>1</v>
      </c>
      <c r="D20" s="194"/>
      <c r="E20" s="195" t="s">
        <v>210</v>
      </c>
      <c r="F20" s="196"/>
      <c r="G20" s="104"/>
      <c r="H20" s="105"/>
    </row>
    <row r="21" spans="2:8" ht="64.5" customHeight="1" x14ac:dyDescent="0.25">
      <c r="B21" s="101"/>
      <c r="C21" s="193" t="s">
        <v>49</v>
      </c>
      <c r="D21" s="194"/>
      <c r="E21" s="195" t="s">
        <v>168</v>
      </c>
      <c r="F21" s="196"/>
      <c r="G21" s="104"/>
      <c r="H21" s="105"/>
    </row>
    <row r="22" spans="2:8" ht="71.25" customHeight="1" x14ac:dyDescent="0.25">
      <c r="B22" s="101"/>
      <c r="C22" s="193" t="s">
        <v>167</v>
      </c>
      <c r="D22" s="194"/>
      <c r="E22" s="195" t="s">
        <v>169</v>
      </c>
      <c r="F22" s="196"/>
      <c r="G22" s="104"/>
      <c r="H22" s="105"/>
    </row>
    <row r="23" spans="2:8" ht="55.5" customHeight="1" x14ac:dyDescent="0.25">
      <c r="B23" s="101"/>
      <c r="C23" s="200" t="s">
        <v>170</v>
      </c>
      <c r="D23" s="201"/>
      <c r="E23" s="195" t="s">
        <v>171</v>
      </c>
      <c r="F23" s="196"/>
      <c r="G23" s="104"/>
      <c r="H23" s="105"/>
    </row>
    <row r="24" spans="2:8" ht="42" customHeight="1" x14ac:dyDescent="0.25">
      <c r="B24" s="101"/>
      <c r="C24" s="200" t="s">
        <v>47</v>
      </c>
      <c r="D24" s="201"/>
      <c r="E24" s="195" t="s">
        <v>172</v>
      </c>
      <c r="F24" s="196"/>
      <c r="G24" s="104"/>
      <c r="H24" s="105"/>
    </row>
    <row r="25" spans="2:8" ht="59.25" customHeight="1" x14ac:dyDescent="0.25">
      <c r="B25" s="101"/>
      <c r="C25" s="200" t="s">
        <v>160</v>
      </c>
      <c r="D25" s="201"/>
      <c r="E25" s="195" t="s">
        <v>173</v>
      </c>
      <c r="F25" s="196"/>
      <c r="G25" s="104"/>
      <c r="H25" s="105"/>
    </row>
    <row r="26" spans="2:8" ht="23.25" customHeight="1" x14ac:dyDescent="0.25">
      <c r="B26" s="101"/>
      <c r="C26" s="200" t="s">
        <v>12</v>
      </c>
      <c r="D26" s="201"/>
      <c r="E26" s="195" t="s">
        <v>174</v>
      </c>
      <c r="F26" s="196"/>
      <c r="G26" s="104"/>
      <c r="H26" s="105"/>
    </row>
    <row r="27" spans="2:8" ht="30.75" customHeight="1" x14ac:dyDescent="0.25">
      <c r="B27" s="101"/>
      <c r="C27" s="200" t="s">
        <v>178</v>
      </c>
      <c r="D27" s="201"/>
      <c r="E27" s="195" t="s">
        <v>175</v>
      </c>
      <c r="F27" s="196"/>
      <c r="G27" s="104"/>
      <c r="H27" s="105"/>
    </row>
    <row r="28" spans="2:8" ht="35.25" customHeight="1" x14ac:dyDescent="0.25">
      <c r="B28" s="101"/>
      <c r="C28" s="200" t="s">
        <v>179</v>
      </c>
      <c r="D28" s="201"/>
      <c r="E28" s="195" t="s">
        <v>176</v>
      </c>
      <c r="F28" s="196"/>
      <c r="G28" s="104"/>
      <c r="H28" s="105"/>
    </row>
    <row r="29" spans="2:8" ht="33" customHeight="1" x14ac:dyDescent="0.25">
      <c r="B29" s="101"/>
      <c r="C29" s="200" t="s">
        <v>179</v>
      </c>
      <c r="D29" s="201"/>
      <c r="E29" s="195" t="s">
        <v>176</v>
      </c>
      <c r="F29" s="196"/>
      <c r="G29" s="104"/>
      <c r="H29" s="105"/>
    </row>
    <row r="30" spans="2:8" ht="30" customHeight="1" x14ac:dyDescent="0.25">
      <c r="B30" s="101"/>
      <c r="C30" s="200" t="s">
        <v>180</v>
      </c>
      <c r="D30" s="201"/>
      <c r="E30" s="195" t="s">
        <v>177</v>
      </c>
      <c r="F30" s="196"/>
      <c r="G30" s="104"/>
      <c r="H30" s="105"/>
    </row>
    <row r="31" spans="2:8" ht="35.25" customHeight="1" x14ac:dyDescent="0.25">
      <c r="B31" s="101"/>
      <c r="C31" s="200" t="s">
        <v>181</v>
      </c>
      <c r="D31" s="201"/>
      <c r="E31" s="195" t="s">
        <v>182</v>
      </c>
      <c r="F31" s="196"/>
      <c r="G31" s="104"/>
      <c r="H31" s="105"/>
    </row>
    <row r="32" spans="2:8" ht="31.5" customHeight="1" x14ac:dyDescent="0.25">
      <c r="B32" s="101"/>
      <c r="C32" s="200" t="s">
        <v>183</v>
      </c>
      <c r="D32" s="201"/>
      <c r="E32" s="195" t="s">
        <v>184</v>
      </c>
      <c r="F32" s="196"/>
      <c r="G32" s="104"/>
      <c r="H32" s="105"/>
    </row>
    <row r="33" spans="2:8" ht="35.25" customHeight="1" x14ac:dyDescent="0.25">
      <c r="B33" s="101"/>
      <c r="C33" s="200" t="s">
        <v>185</v>
      </c>
      <c r="D33" s="201"/>
      <c r="E33" s="195" t="s">
        <v>186</v>
      </c>
      <c r="F33" s="196"/>
      <c r="G33" s="104"/>
      <c r="H33" s="105"/>
    </row>
    <row r="34" spans="2:8" ht="59.25" customHeight="1" x14ac:dyDescent="0.25">
      <c r="B34" s="101"/>
      <c r="C34" s="200" t="s">
        <v>187</v>
      </c>
      <c r="D34" s="201"/>
      <c r="E34" s="195" t="s">
        <v>188</v>
      </c>
      <c r="F34" s="196"/>
      <c r="G34" s="104"/>
      <c r="H34" s="105"/>
    </row>
    <row r="35" spans="2:8" ht="29.25" customHeight="1" x14ac:dyDescent="0.25">
      <c r="B35" s="101"/>
      <c r="C35" s="200" t="s">
        <v>29</v>
      </c>
      <c r="D35" s="201"/>
      <c r="E35" s="195" t="s">
        <v>189</v>
      </c>
      <c r="F35" s="196"/>
      <c r="G35" s="104"/>
      <c r="H35" s="105"/>
    </row>
    <row r="36" spans="2:8" ht="82.5" customHeight="1" x14ac:dyDescent="0.25">
      <c r="B36" s="101"/>
      <c r="C36" s="200" t="s">
        <v>191</v>
      </c>
      <c r="D36" s="201"/>
      <c r="E36" s="195" t="s">
        <v>190</v>
      </c>
      <c r="F36" s="196"/>
      <c r="G36" s="104"/>
      <c r="H36" s="105"/>
    </row>
    <row r="37" spans="2:8" ht="46.5" customHeight="1" x14ac:dyDescent="0.25">
      <c r="B37" s="101"/>
      <c r="C37" s="200" t="s">
        <v>38</v>
      </c>
      <c r="D37" s="201"/>
      <c r="E37" s="195" t="s">
        <v>192</v>
      </c>
      <c r="F37" s="196"/>
      <c r="G37" s="104"/>
      <c r="H37" s="105"/>
    </row>
    <row r="38" spans="2:8" ht="6.75" customHeight="1" thickBot="1" x14ac:dyDescent="0.3">
      <c r="B38" s="101"/>
      <c r="C38" s="202"/>
      <c r="D38" s="203"/>
      <c r="E38" s="204"/>
      <c r="F38" s="205"/>
      <c r="G38" s="104"/>
      <c r="H38" s="105"/>
    </row>
    <row r="39" spans="2:8" ht="15.75" thickTop="1" x14ac:dyDescent="0.25">
      <c r="B39" s="101"/>
      <c r="C39" s="102"/>
      <c r="D39" s="102"/>
      <c r="E39" s="103"/>
      <c r="F39" s="103"/>
      <c r="G39" s="104"/>
      <c r="H39" s="105"/>
    </row>
    <row r="40" spans="2:8" ht="21" customHeight="1" x14ac:dyDescent="0.25">
      <c r="B40" s="197" t="s">
        <v>201</v>
      </c>
      <c r="C40" s="198"/>
      <c r="D40" s="198"/>
      <c r="E40" s="198"/>
      <c r="F40" s="198"/>
      <c r="G40" s="198"/>
      <c r="H40" s="199"/>
    </row>
    <row r="41" spans="2:8" ht="20.25" customHeight="1" x14ac:dyDescent="0.25">
      <c r="B41" s="197" t="s">
        <v>202</v>
      </c>
      <c r="C41" s="198"/>
      <c r="D41" s="198"/>
      <c r="E41" s="198"/>
      <c r="F41" s="198"/>
      <c r="G41" s="198"/>
      <c r="H41" s="199"/>
    </row>
    <row r="42" spans="2:8" ht="20.25" customHeight="1" x14ac:dyDescent="0.25">
      <c r="B42" s="197" t="s">
        <v>203</v>
      </c>
      <c r="C42" s="198"/>
      <c r="D42" s="198"/>
      <c r="E42" s="198"/>
      <c r="F42" s="198"/>
      <c r="G42" s="198"/>
      <c r="H42" s="199"/>
    </row>
    <row r="43" spans="2:8" ht="20.25" customHeight="1" x14ac:dyDescent="0.25">
      <c r="B43" s="197" t="s">
        <v>204</v>
      </c>
      <c r="C43" s="198"/>
      <c r="D43" s="198"/>
      <c r="E43" s="198"/>
      <c r="F43" s="198"/>
      <c r="G43" s="198"/>
      <c r="H43" s="199"/>
    </row>
    <row r="44" spans="2:8" x14ac:dyDescent="0.25">
      <c r="B44" s="197" t="s">
        <v>205</v>
      </c>
      <c r="C44" s="198"/>
      <c r="D44" s="198"/>
      <c r="E44" s="198"/>
      <c r="F44" s="198"/>
      <c r="G44" s="198"/>
      <c r="H44" s="199"/>
    </row>
    <row r="45" spans="2:8" ht="15.75" thickBot="1" x14ac:dyDescent="0.3">
      <c r="B45" s="106"/>
      <c r="C45" s="107"/>
      <c r="D45" s="107"/>
      <c r="E45" s="107"/>
      <c r="F45" s="107"/>
      <c r="G45" s="107"/>
      <c r="H45" s="10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V27"/>
  <sheetViews>
    <sheetView showGridLines="0" tabSelected="1" topLeftCell="P19" zoomScale="90" zoomScaleNormal="90" workbookViewId="0">
      <selection activeCell="AD25" sqref="AD25"/>
    </sheetView>
  </sheetViews>
  <sheetFormatPr baseColWidth="10" defaultColWidth="11.42578125" defaultRowHeight="16.5" x14ac:dyDescent="0.3"/>
  <cols>
    <col min="1" max="1" width="4.7109375" style="2" customWidth="1"/>
    <col min="2" max="2" width="12" style="2" customWidth="1"/>
    <col min="3" max="3" width="12" style="140" customWidth="1"/>
    <col min="4" max="4" width="14.140625" style="2" customWidth="1"/>
    <col min="5" max="5" width="38.5703125" style="2" customWidth="1"/>
    <col min="6" max="6" width="52.28515625" style="2" customWidth="1"/>
    <col min="7" max="7" width="44.285156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18.85546875" style="1" customWidth="1"/>
    <col min="16" max="16" width="17.42578125" style="1" customWidth="1"/>
    <col min="17" max="17" width="6.28515625" style="1" customWidth="1"/>
    <col min="18" max="18" width="16" style="1" customWidth="1"/>
    <col min="19" max="19" width="5.7109375" style="1" customWidth="1"/>
    <col min="20" max="20" width="28.7109375" style="1" customWidth="1"/>
    <col min="21" max="21" width="24"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11.42578125" style="148"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49.28515625" style="1" customWidth="1"/>
    <col min="41" max="41" width="15.85546875" style="1" customWidth="1"/>
    <col min="42" max="42" width="14.140625" style="1" customWidth="1"/>
    <col min="43" max="43" width="27.5703125" style="154" customWidth="1"/>
    <col min="44" max="44" width="26.7109375" style="1" customWidth="1"/>
    <col min="45" max="45" width="20.7109375" style="1" customWidth="1"/>
    <col min="46" max="46" width="17" style="1" customWidth="1"/>
    <col min="47" max="47" width="64.7109375" style="1" customWidth="1"/>
    <col min="48" max="48" width="17.28515625" style="1" customWidth="1"/>
    <col min="49" max="16384" width="11.42578125" style="1"/>
  </cols>
  <sheetData>
    <row r="1" spans="1:74" ht="12" customHeight="1" x14ac:dyDescent="0.3">
      <c r="A1" s="219" t="s">
        <v>213</v>
      </c>
      <c r="B1" s="219"/>
      <c r="C1" s="219"/>
      <c r="D1" s="219"/>
      <c r="E1" s="223" t="s">
        <v>214</v>
      </c>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44" t="s">
        <v>215</v>
      </c>
      <c r="AV1" s="245"/>
    </row>
    <row r="2" spans="1:74" ht="15.75" customHeight="1" x14ac:dyDescent="0.3">
      <c r="A2" s="219"/>
      <c r="B2" s="219"/>
      <c r="C2" s="219"/>
      <c r="D2" s="219"/>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06" t="s">
        <v>222</v>
      </c>
      <c r="AV2" s="207"/>
    </row>
    <row r="3" spans="1:74" ht="13.9" customHeight="1" x14ac:dyDescent="0.3">
      <c r="A3" s="219"/>
      <c r="B3" s="219"/>
      <c r="C3" s="219"/>
      <c r="D3" s="219"/>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06" t="s">
        <v>223</v>
      </c>
      <c r="AV3" s="207"/>
    </row>
    <row r="4" spans="1:74" ht="13.9" customHeight="1" x14ac:dyDescent="0.3">
      <c r="A4" s="219"/>
      <c r="B4" s="219"/>
      <c r="C4" s="219"/>
      <c r="D4" s="219"/>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08" t="s">
        <v>216</v>
      </c>
      <c r="AV4" s="209"/>
    </row>
    <row r="5" spans="1:74" ht="24" customHeight="1" x14ac:dyDescent="0.3">
      <c r="A5" s="235" t="s">
        <v>42</v>
      </c>
      <c r="B5" s="236"/>
      <c r="C5" s="214" t="s">
        <v>254</v>
      </c>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6"/>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30" customHeight="1" x14ac:dyDescent="0.3">
      <c r="A6" s="235" t="s">
        <v>129</v>
      </c>
      <c r="B6" s="236"/>
      <c r="C6" s="211" t="s">
        <v>255</v>
      </c>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3"/>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24" customHeight="1" x14ac:dyDescent="0.3">
      <c r="A7" s="235" t="s">
        <v>43</v>
      </c>
      <c r="B7" s="236"/>
      <c r="C7" s="211" t="s">
        <v>256</v>
      </c>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3"/>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1.25" customHeight="1" x14ac:dyDescent="0.3">
      <c r="A8" s="220" t="s">
        <v>138</v>
      </c>
      <c r="B8" s="220"/>
      <c r="C8" s="220"/>
      <c r="D8" s="220"/>
      <c r="E8" s="220"/>
      <c r="F8" s="220"/>
      <c r="G8" s="220"/>
      <c r="H8" s="220"/>
      <c r="I8" s="220"/>
      <c r="J8" s="220"/>
      <c r="K8" s="220"/>
      <c r="L8" s="220" t="s">
        <v>139</v>
      </c>
      <c r="M8" s="220"/>
      <c r="N8" s="220"/>
      <c r="O8" s="220"/>
      <c r="P8" s="220"/>
      <c r="Q8" s="220"/>
      <c r="R8" s="220"/>
      <c r="S8" s="220" t="s">
        <v>140</v>
      </c>
      <c r="T8" s="220"/>
      <c r="U8" s="220"/>
      <c r="V8" s="220"/>
      <c r="W8" s="220"/>
      <c r="X8" s="220"/>
      <c r="Y8" s="220"/>
      <c r="Z8" s="220"/>
      <c r="AA8" s="220"/>
      <c r="AB8" s="220"/>
      <c r="AC8" s="220" t="s">
        <v>141</v>
      </c>
      <c r="AD8" s="220"/>
      <c r="AE8" s="220"/>
      <c r="AF8" s="220"/>
      <c r="AG8" s="220"/>
      <c r="AH8" s="220"/>
      <c r="AI8" s="220"/>
      <c r="AJ8" s="220" t="s">
        <v>34</v>
      </c>
      <c r="AK8" s="220"/>
      <c r="AL8" s="220"/>
      <c r="AM8" s="220"/>
      <c r="AN8" s="220"/>
      <c r="AO8" s="220"/>
      <c r="AP8" s="220"/>
      <c r="AQ8" s="220"/>
      <c r="AR8" s="220"/>
      <c r="AS8" s="220"/>
      <c r="AT8" s="220"/>
      <c r="AU8" s="220"/>
      <c r="AV8" s="220"/>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6.5" customHeight="1" x14ac:dyDescent="0.3">
      <c r="A9" s="233" t="s">
        <v>0</v>
      </c>
      <c r="B9" s="220" t="s">
        <v>13</v>
      </c>
      <c r="C9" s="210" t="s">
        <v>236</v>
      </c>
      <c r="D9" s="220" t="s">
        <v>2</v>
      </c>
      <c r="E9" s="210" t="s">
        <v>3</v>
      </c>
      <c r="F9" s="210" t="s">
        <v>41</v>
      </c>
      <c r="G9" s="220" t="s">
        <v>1</v>
      </c>
      <c r="H9" s="210" t="s">
        <v>49</v>
      </c>
      <c r="I9" s="210" t="s">
        <v>252</v>
      </c>
      <c r="J9" s="210" t="s">
        <v>253</v>
      </c>
      <c r="K9" s="210" t="s">
        <v>134</v>
      </c>
      <c r="L9" s="210" t="s">
        <v>33</v>
      </c>
      <c r="M9" s="220" t="s">
        <v>5</v>
      </c>
      <c r="N9" s="210" t="s">
        <v>86</v>
      </c>
      <c r="O9" s="210" t="s">
        <v>91</v>
      </c>
      <c r="P9" s="210" t="s">
        <v>44</v>
      </c>
      <c r="Q9" s="220" t="s">
        <v>5</v>
      </c>
      <c r="R9" s="210" t="s">
        <v>47</v>
      </c>
      <c r="S9" s="217" t="s">
        <v>11</v>
      </c>
      <c r="T9" s="210" t="s">
        <v>160</v>
      </c>
      <c r="U9" s="210" t="s">
        <v>212</v>
      </c>
      <c r="V9" s="210" t="s">
        <v>12</v>
      </c>
      <c r="W9" s="210" t="s">
        <v>8</v>
      </c>
      <c r="X9" s="210"/>
      <c r="Y9" s="210"/>
      <c r="Z9" s="210"/>
      <c r="AA9" s="210"/>
      <c r="AB9" s="210"/>
      <c r="AC9" s="218" t="s">
        <v>137</v>
      </c>
      <c r="AD9" s="217" t="s">
        <v>45</v>
      </c>
      <c r="AE9" s="217" t="s">
        <v>5</v>
      </c>
      <c r="AF9" s="217" t="s">
        <v>46</v>
      </c>
      <c r="AG9" s="217" t="s">
        <v>5</v>
      </c>
      <c r="AH9" s="217" t="s">
        <v>48</v>
      </c>
      <c r="AI9" s="217" t="s">
        <v>29</v>
      </c>
      <c r="AJ9" s="210" t="s">
        <v>34</v>
      </c>
      <c r="AK9" s="210" t="s">
        <v>35</v>
      </c>
      <c r="AL9" s="210" t="s">
        <v>36</v>
      </c>
      <c r="AM9" s="210" t="s">
        <v>37</v>
      </c>
      <c r="AN9" s="210" t="s">
        <v>224</v>
      </c>
      <c r="AO9" s="210" t="s">
        <v>38</v>
      </c>
      <c r="AP9" s="210" t="s">
        <v>37</v>
      </c>
      <c r="AQ9" s="234" t="s">
        <v>225</v>
      </c>
      <c r="AR9" s="221" t="s">
        <v>334</v>
      </c>
      <c r="AS9" s="210" t="s">
        <v>38</v>
      </c>
      <c r="AT9" s="210" t="s">
        <v>37</v>
      </c>
      <c r="AU9" s="210" t="s">
        <v>226</v>
      </c>
      <c r="AV9" s="210" t="s">
        <v>38</v>
      </c>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s="3" customFormat="1" ht="30.75" customHeight="1" x14ac:dyDescent="0.25">
      <c r="A10" s="233"/>
      <c r="B10" s="220"/>
      <c r="C10" s="210"/>
      <c r="D10" s="220"/>
      <c r="E10" s="210"/>
      <c r="F10" s="210"/>
      <c r="G10" s="220"/>
      <c r="H10" s="210"/>
      <c r="I10" s="210"/>
      <c r="J10" s="210"/>
      <c r="K10" s="210"/>
      <c r="L10" s="210"/>
      <c r="M10" s="220"/>
      <c r="N10" s="210"/>
      <c r="O10" s="210"/>
      <c r="P10" s="220"/>
      <c r="Q10" s="220"/>
      <c r="R10" s="210"/>
      <c r="S10" s="217"/>
      <c r="T10" s="210"/>
      <c r="U10" s="210"/>
      <c r="V10" s="210"/>
      <c r="W10" s="135" t="s">
        <v>13</v>
      </c>
      <c r="X10" s="135" t="s">
        <v>17</v>
      </c>
      <c r="Y10" s="135" t="s">
        <v>28</v>
      </c>
      <c r="Z10" s="135" t="s">
        <v>18</v>
      </c>
      <c r="AA10" s="135" t="s">
        <v>21</v>
      </c>
      <c r="AB10" s="135" t="s">
        <v>24</v>
      </c>
      <c r="AC10" s="218"/>
      <c r="AD10" s="217"/>
      <c r="AE10" s="217"/>
      <c r="AF10" s="217"/>
      <c r="AG10" s="217"/>
      <c r="AH10" s="217"/>
      <c r="AI10" s="217"/>
      <c r="AJ10" s="210"/>
      <c r="AK10" s="210"/>
      <c r="AL10" s="210"/>
      <c r="AM10" s="210"/>
      <c r="AN10" s="210"/>
      <c r="AO10" s="210"/>
      <c r="AP10" s="210"/>
      <c r="AQ10" s="234"/>
      <c r="AR10" s="222"/>
      <c r="AS10" s="210"/>
      <c r="AT10" s="210"/>
      <c r="AU10" s="210"/>
      <c r="AV10" s="210"/>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116.25" customHeight="1" x14ac:dyDescent="0.3">
      <c r="A11" s="241">
        <v>1</v>
      </c>
      <c r="B11" s="241" t="s">
        <v>231</v>
      </c>
      <c r="C11" s="258" t="s">
        <v>238</v>
      </c>
      <c r="D11" s="237" t="s">
        <v>133</v>
      </c>
      <c r="E11" s="237" t="s">
        <v>309</v>
      </c>
      <c r="F11" s="237" t="s">
        <v>310</v>
      </c>
      <c r="G11" s="238" t="s">
        <v>311</v>
      </c>
      <c r="H11" s="237" t="s">
        <v>122</v>
      </c>
      <c r="I11" s="261" t="s">
        <v>245</v>
      </c>
      <c r="J11" s="261" t="s">
        <v>249</v>
      </c>
      <c r="K11" s="248">
        <v>43</v>
      </c>
      <c r="L11" s="269" t="s">
        <v>106</v>
      </c>
      <c r="M11" s="239">
        <v>0.6</v>
      </c>
      <c r="N11" s="268" t="s">
        <v>152</v>
      </c>
      <c r="O11" s="239" t="s">
        <v>152</v>
      </c>
      <c r="P11" s="269" t="s">
        <v>80</v>
      </c>
      <c r="Q11" s="239">
        <v>0.6</v>
      </c>
      <c r="R11" s="240" t="s">
        <v>80</v>
      </c>
      <c r="S11" s="116">
        <v>1</v>
      </c>
      <c r="T11" s="166" t="s">
        <v>296</v>
      </c>
      <c r="U11" s="117" t="s">
        <v>263</v>
      </c>
      <c r="V11" s="137" t="s">
        <v>4</v>
      </c>
      <c r="W11" s="119" t="s">
        <v>14</v>
      </c>
      <c r="X11" s="119" t="s">
        <v>9</v>
      </c>
      <c r="Y11" s="120" t="s">
        <v>271</v>
      </c>
      <c r="Z11" s="119" t="s">
        <v>20</v>
      </c>
      <c r="AA11" s="119" t="s">
        <v>23</v>
      </c>
      <c r="AB11" s="119" t="s">
        <v>118</v>
      </c>
      <c r="AC11" s="142">
        <f>IFERROR(IF(V11="Probabilidad",(M11-(+M11*Y11)),IF(V11="Impacto",M11,"")),"")</f>
        <v>0.36</v>
      </c>
      <c r="AD11" s="143" t="str">
        <f>IFERROR(IF(AC11="","",IF(AC11&lt;=0.2,"Muy Baja",IF(AC11&lt;=0.4,"Baja",IF(AC11&lt;=0.6,"Media",IF(AC11&lt;=0.8,"Alta","Muy Alta"))))),"")</f>
        <v>Baja</v>
      </c>
      <c r="AE11" s="144">
        <f t="shared" ref="AE11:AE20" si="0">+AC11</f>
        <v>0.36</v>
      </c>
      <c r="AF11" s="143" t="str">
        <f>IFERROR(IF(AG11="","",IF(AG11&lt;=0.2,"Leve",IF(AG11&lt;=0.4,"Menor",IF(AG11&lt;=0.6,"Moderado",IF(AG11&lt;=0.8,"Mayor","Catastrófico"))))),"")</f>
        <v>Moderado</v>
      </c>
      <c r="AG11" s="144">
        <f>IFERROR(IF(V11="Impacto",(Q11-(+Q11*Y11)),IF(V11="Probabilidad",Q11,"")),"")</f>
        <v>0.6</v>
      </c>
      <c r="AH11" s="145" t="str">
        <f t="shared" ref="AH11:AH19" si="1">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Moderado</v>
      </c>
      <c r="AI11" s="119" t="s">
        <v>135</v>
      </c>
      <c r="AJ11" s="136" t="s">
        <v>272</v>
      </c>
      <c r="AK11" s="136" t="s">
        <v>273</v>
      </c>
      <c r="AL11" s="136" t="s">
        <v>274</v>
      </c>
      <c r="AM11" s="141">
        <v>45058</v>
      </c>
      <c r="AN11" s="117" t="s">
        <v>312</v>
      </c>
      <c r="AO11" s="118" t="s">
        <v>40</v>
      </c>
      <c r="AP11" s="141">
        <v>45161</v>
      </c>
      <c r="AQ11" s="161" t="s">
        <v>324</v>
      </c>
      <c r="AR11" s="165" t="s">
        <v>337</v>
      </c>
      <c r="AS11" s="118" t="s">
        <v>40</v>
      </c>
      <c r="AT11" s="162">
        <v>45239</v>
      </c>
      <c r="AU11" s="162" t="s">
        <v>343</v>
      </c>
      <c r="AV11" s="118" t="s">
        <v>39</v>
      </c>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115.5" x14ac:dyDescent="0.3">
      <c r="A12" s="242"/>
      <c r="B12" s="242"/>
      <c r="C12" s="259"/>
      <c r="D12" s="237"/>
      <c r="E12" s="237"/>
      <c r="F12" s="237"/>
      <c r="G12" s="238"/>
      <c r="H12" s="237"/>
      <c r="I12" s="262"/>
      <c r="J12" s="262"/>
      <c r="K12" s="248"/>
      <c r="L12" s="269"/>
      <c r="M12" s="239"/>
      <c r="N12" s="268"/>
      <c r="O12" s="239">
        <v>0</v>
      </c>
      <c r="P12" s="269"/>
      <c r="Q12" s="239"/>
      <c r="R12" s="240"/>
      <c r="S12" s="116">
        <v>2</v>
      </c>
      <c r="T12" s="117" t="s">
        <v>297</v>
      </c>
      <c r="U12" s="117" t="s">
        <v>306</v>
      </c>
      <c r="V12" s="137" t="s">
        <v>4</v>
      </c>
      <c r="W12" s="119" t="s">
        <v>14</v>
      </c>
      <c r="X12" s="119" t="s">
        <v>9</v>
      </c>
      <c r="Y12" s="120" t="s">
        <v>271</v>
      </c>
      <c r="Z12" s="119" t="s">
        <v>20</v>
      </c>
      <c r="AA12" s="119" t="s">
        <v>22</v>
      </c>
      <c r="AB12" s="119" t="s">
        <v>118</v>
      </c>
      <c r="AC12" s="149">
        <f>IFERROR(IF(AND(V11="Probabilidad",V12="Probabilidad"),(AE11-(+AE11*Y12)),IF(V12="Probabilidad",(N11-(+N11*Y12)),IF(V12="Impacto",AE11,""))),"")</f>
        <v>0.216</v>
      </c>
      <c r="AD12" s="143" t="str">
        <f t="shared" ref="AD12:AD14" si="2">IFERROR(IF(AC12="","",IF(AC12&lt;=0.2,"Muy Baja",IF(AC12&lt;=0.4,"Baja",IF(AC12&lt;=0.6,"Media",IF(AC12&lt;=0.8,"Alta","Muy Alta"))))),"")</f>
        <v>Baja</v>
      </c>
      <c r="AE12" s="150">
        <f t="shared" si="0"/>
        <v>0.216</v>
      </c>
      <c r="AF12" s="143" t="str">
        <f t="shared" ref="AF12:AF14" si="3">IFERROR(IF(AG12="","",IF(AG12&lt;=0.2,"Leve",IF(AG12&lt;=0.4,"Menor",IF(AG12&lt;=0.6,"Moderado",IF(AG12&lt;=0.8,"Mayor","Catastrófico"))))),"")</f>
        <v>Moderado</v>
      </c>
      <c r="AG12" s="144">
        <f>IFERROR(IF(AND(V11="Impacto",V12="Impacto"),(AG11-(+AG11*Y12)),IF(V12="Impacto",($M$10-(+$M$10*Y12)),IF(V12="Probabilidad",AG11,""))),"")</f>
        <v>0.6</v>
      </c>
      <c r="AH12" s="143" t="str">
        <f t="shared" si="1"/>
        <v>Moderado</v>
      </c>
      <c r="AI12" s="119" t="s">
        <v>135</v>
      </c>
      <c r="AJ12" s="136" t="s">
        <v>307</v>
      </c>
      <c r="AK12" s="136" t="s">
        <v>273</v>
      </c>
      <c r="AL12" s="136" t="s">
        <v>275</v>
      </c>
      <c r="AM12" s="141">
        <v>45058</v>
      </c>
      <c r="AN12" s="117" t="s">
        <v>313</v>
      </c>
      <c r="AO12" s="118" t="s">
        <v>40</v>
      </c>
      <c r="AP12" s="141">
        <v>45161</v>
      </c>
      <c r="AQ12" s="151" t="s">
        <v>328</v>
      </c>
      <c r="AR12" s="165" t="s">
        <v>335</v>
      </c>
      <c r="AS12" s="118" t="s">
        <v>40</v>
      </c>
      <c r="AT12" s="162">
        <v>45239</v>
      </c>
      <c r="AU12" s="162" t="s">
        <v>338</v>
      </c>
      <c r="AV12" s="118" t="s">
        <v>39</v>
      </c>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207" customHeight="1" x14ac:dyDescent="0.3">
      <c r="A13" s="242"/>
      <c r="B13" s="242"/>
      <c r="C13" s="259"/>
      <c r="D13" s="237"/>
      <c r="E13" s="237"/>
      <c r="F13" s="237"/>
      <c r="G13" s="238"/>
      <c r="H13" s="237"/>
      <c r="I13" s="262"/>
      <c r="J13" s="262"/>
      <c r="K13" s="248"/>
      <c r="L13" s="269"/>
      <c r="M13" s="239"/>
      <c r="N13" s="268"/>
      <c r="O13" s="239">
        <v>0</v>
      </c>
      <c r="P13" s="269"/>
      <c r="Q13" s="239"/>
      <c r="R13" s="240"/>
      <c r="S13" s="116">
        <v>3</v>
      </c>
      <c r="T13" s="117" t="s">
        <v>308</v>
      </c>
      <c r="U13" s="117" t="s">
        <v>336</v>
      </c>
      <c r="V13" s="137" t="s">
        <v>2</v>
      </c>
      <c r="W13" s="119" t="s">
        <v>16</v>
      </c>
      <c r="X13" s="119" t="s">
        <v>9</v>
      </c>
      <c r="Y13" s="120" t="s">
        <v>276</v>
      </c>
      <c r="Z13" s="119" t="s">
        <v>19</v>
      </c>
      <c r="AA13" s="119" t="s">
        <v>22</v>
      </c>
      <c r="AB13" s="119" t="s">
        <v>119</v>
      </c>
      <c r="AC13" s="149">
        <f>IFERROR(IF(AND(V12="Probabilidad",V13="Probabilidad"),(AE12-(+AE12*Y13)),IF(V13="Probabilidad",(N12-(+N12*Y13)),IF(V13="Impacto",AE12,""))),"")</f>
        <v>0.216</v>
      </c>
      <c r="AD13" s="143" t="str">
        <f t="shared" si="2"/>
        <v>Baja</v>
      </c>
      <c r="AE13" s="150">
        <f t="shared" si="0"/>
        <v>0.216</v>
      </c>
      <c r="AF13" s="143" t="str">
        <f t="shared" si="3"/>
        <v>Leve</v>
      </c>
      <c r="AG13" s="144">
        <f>IFERROR(IF(AND(V12="Impacto",V13="Impacto"),(AG12-(+AG12*Y13)),IF(V13="Impacto",($M$10-(+$M$10*Y13)),IF(V13="Probabilidad",AG12,""))),"")</f>
        <v>0</v>
      </c>
      <c r="AH13" s="143" t="str">
        <f t="shared" si="1"/>
        <v>Bajo</v>
      </c>
      <c r="AI13" s="119" t="s">
        <v>135</v>
      </c>
      <c r="AJ13" s="136" t="s">
        <v>315</v>
      </c>
      <c r="AK13" s="136" t="s">
        <v>273</v>
      </c>
      <c r="AL13" s="136" t="s">
        <v>316</v>
      </c>
      <c r="AM13" s="141">
        <v>45058</v>
      </c>
      <c r="AN13" s="117" t="s">
        <v>314</v>
      </c>
      <c r="AO13" s="118" t="s">
        <v>40</v>
      </c>
      <c r="AP13" s="141">
        <v>45161</v>
      </c>
      <c r="AQ13" s="161" t="s">
        <v>327</v>
      </c>
      <c r="AR13" s="165" t="s">
        <v>337</v>
      </c>
      <c r="AS13" s="118" t="s">
        <v>40</v>
      </c>
      <c r="AT13" s="162">
        <v>45239</v>
      </c>
      <c r="AU13" s="162" t="s">
        <v>339</v>
      </c>
      <c r="AV13" s="118" t="s">
        <v>40</v>
      </c>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07.25" customHeight="1" x14ac:dyDescent="0.3">
      <c r="A14" s="243"/>
      <c r="B14" s="243"/>
      <c r="C14" s="260"/>
      <c r="D14" s="237"/>
      <c r="E14" s="237"/>
      <c r="F14" s="237"/>
      <c r="G14" s="238"/>
      <c r="H14" s="237"/>
      <c r="I14" s="263"/>
      <c r="J14" s="263"/>
      <c r="K14" s="248"/>
      <c r="L14" s="269"/>
      <c r="M14" s="239"/>
      <c r="N14" s="268"/>
      <c r="O14" s="239">
        <v>0</v>
      </c>
      <c r="P14" s="269"/>
      <c r="Q14" s="239"/>
      <c r="R14" s="240"/>
      <c r="S14" s="116">
        <v>4</v>
      </c>
      <c r="T14" s="117" t="s">
        <v>264</v>
      </c>
      <c r="U14" s="117" t="s">
        <v>298</v>
      </c>
      <c r="V14" s="137" t="s">
        <v>4</v>
      </c>
      <c r="W14" s="119" t="s">
        <v>14</v>
      </c>
      <c r="X14" s="119" t="s">
        <v>9</v>
      </c>
      <c r="Y14" s="120" t="s">
        <v>271</v>
      </c>
      <c r="Z14" s="119" t="s">
        <v>20</v>
      </c>
      <c r="AA14" s="119" t="s">
        <v>22</v>
      </c>
      <c r="AB14" s="119" t="s">
        <v>118</v>
      </c>
      <c r="AC14" s="149">
        <f>IFERROR(IF(AND(V13="Probabilidad",V14="Probabilidad"),(AE13-(+AE13*Y14)),IF(V14="Probabilidad",(N13-(+N13*Y14)),IF(V14="Impacto",AE13,""))),"")</f>
        <v>0</v>
      </c>
      <c r="AD14" s="143" t="str">
        <f t="shared" si="2"/>
        <v>Muy Baja</v>
      </c>
      <c r="AE14" s="150">
        <f t="shared" si="0"/>
        <v>0</v>
      </c>
      <c r="AF14" s="143" t="str">
        <f t="shared" si="3"/>
        <v>Leve</v>
      </c>
      <c r="AG14" s="144">
        <f>IFERROR(IF(AND(V13="Impacto",V14="Impacto"),(AG13-(+AG13*Y14)),IF(V14="Impacto",($M$10-(+$M$10*Y14)),IF(V14="Probabilidad",AG13,""))),"")</f>
        <v>0</v>
      </c>
      <c r="AH14" s="143" t="str">
        <f t="shared" si="1"/>
        <v>Bajo</v>
      </c>
      <c r="AI14" s="119" t="s">
        <v>135</v>
      </c>
      <c r="AJ14" s="136" t="s">
        <v>277</v>
      </c>
      <c r="AK14" s="136" t="s">
        <v>278</v>
      </c>
      <c r="AL14" s="136" t="s">
        <v>279</v>
      </c>
      <c r="AM14" s="141">
        <v>45058</v>
      </c>
      <c r="AN14" s="117" t="s">
        <v>317</v>
      </c>
      <c r="AO14" s="118" t="s">
        <v>40</v>
      </c>
      <c r="AP14" s="141">
        <v>45161</v>
      </c>
      <c r="AQ14" s="151" t="s">
        <v>326</v>
      </c>
      <c r="AR14" s="165" t="s">
        <v>337</v>
      </c>
      <c r="AS14" s="118" t="s">
        <v>40</v>
      </c>
      <c r="AT14" s="162">
        <v>45239</v>
      </c>
      <c r="AU14" s="162" t="s">
        <v>340</v>
      </c>
      <c r="AV14" s="118" t="s">
        <v>39</v>
      </c>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11.75" customHeight="1" x14ac:dyDescent="0.3">
      <c r="A15" s="241">
        <v>2</v>
      </c>
      <c r="B15" s="241" t="s">
        <v>233</v>
      </c>
      <c r="C15" s="258" t="s">
        <v>240</v>
      </c>
      <c r="D15" s="237" t="s">
        <v>133</v>
      </c>
      <c r="E15" s="237" t="s">
        <v>257</v>
      </c>
      <c r="F15" s="237" t="s">
        <v>258</v>
      </c>
      <c r="G15" s="238" t="s">
        <v>293</v>
      </c>
      <c r="H15" s="237" t="s">
        <v>122</v>
      </c>
      <c r="I15" s="261" t="s">
        <v>245</v>
      </c>
      <c r="J15" s="261" t="s">
        <v>247</v>
      </c>
      <c r="K15" s="248">
        <v>90</v>
      </c>
      <c r="L15" s="249" t="str">
        <f>IF(K15&lt;=0,"",IF(K15&lt;=2,"Muy Baja",IF(K15&lt;=24,"Baja",IF(K15&lt;=500,"Media",IF(K15&lt;=5000,"Alta","Muy Alta")))))</f>
        <v>Media</v>
      </c>
      <c r="M15" s="246">
        <f>IF(L15="","",IF(L15="Muy Baja",0.2,IF(L15="Baja",0.4,IF(L15="Media",0.6,IF(L15="Alta",0.8,IF(L15="Muy Alta",1,))))))</f>
        <v>0.6</v>
      </c>
      <c r="N15" s="255" t="s">
        <v>152</v>
      </c>
      <c r="O15" s="246" t="str">
        <f>IF(NOT(ISERROR(MATCH(N15,'[1]Tabla Impacto'!$B$221:$B$223,0))),'[1]Tabla Impacto'!$F$223&amp;"Por favor no seleccionar los criterios de impacto(Afectación Económica o presupuestal y Pérdida Reputacional)",N15)</f>
        <v xml:space="preserve">     El riesgo afecta la imagen de la entidad con algunos usuarios de relevancia frente al logro de los objetivos</v>
      </c>
      <c r="P15" s="264" t="str">
        <f>IF(OR(O15='[1]Tabla Impacto'!$C$11,O15='[1]Tabla Impacto'!$D$11),"Leve",IF(OR(O15='[1]Tabla Impacto'!$C$12,O15='[1]Tabla Impacto'!$D$12),"Menor",IF(OR(O15='[1]Tabla Impacto'!$C$13,O15='[1]Tabla Impacto'!$D$13),"Moderado",IF(OR(O15='[1]Tabla Impacto'!$C$14,O15='[1]Tabla Impacto'!$D$14),"Mayor",IF(OR(O15='[1]Tabla Impacto'!$C$15,O15='[1]Tabla Impacto'!$D$15),"Catastrófico","")))))</f>
        <v>Moderado</v>
      </c>
      <c r="Q15" s="246">
        <f>IF(P15="","",IF(P15="Leve",0.2,IF(P15="Menor",0.4,IF(P15="Moderado",0.6,IF(P15="Mayor",0.8,IF(P15="Catastrófico",1,))))))</f>
        <v>0.6</v>
      </c>
      <c r="R15" s="253"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16">
        <v>1</v>
      </c>
      <c r="T15" s="117" t="s">
        <v>265</v>
      </c>
      <c r="U15" s="117" t="s">
        <v>299</v>
      </c>
      <c r="V15" s="163" t="s">
        <v>4</v>
      </c>
      <c r="W15" s="119" t="s">
        <v>14</v>
      </c>
      <c r="X15" s="119" t="s">
        <v>9</v>
      </c>
      <c r="Y15" s="120" t="s">
        <v>271</v>
      </c>
      <c r="Z15" s="119" t="s">
        <v>19</v>
      </c>
      <c r="AA15" s="119" t="s">
        <v>22</v>
      </c>
      <c r="AB15" s="119" t="s">
        <v>118</v>
      </c>
      <c r="AC15" s="142">
        <f>IFERROR(IF(V15="Probabilidad",(M15-(+M15*Y15)),IF(V15="Impacto",M15,"")),"")</f>
        <v>0.36</v>
      </c>
      <c r="AD15" s="143" t="str">
        <f>IFERROR(IF(AC15="","",IF(AC15&lt;=0.2,"Muy Baja",IF(AC15&lt;=0.4,"Baja",IF(AC15&lt;=0.6,"Media",IF(AC15&lt;=0.8,"Alta","Muy Alta"))))),"")</f>
        <v>Baja</v>
      </c>
      <c r="AE15" s="144">
        <f t="shared" si="0"/>
        <v>0.36</v>
      </c>
      <c r="AF15" s="143" t="str">
        <f>IFERROR(IF(AG15="","",IF(AG15&lt;=0.2,"Leve",IF(AG15&lt;=0.4,"Menor",IF(AG15&lt;=0.6,"Moderado",IF(AG15&lt;=0.8,"Mayor","Catastrófico"))))),"")</f>
        <v>Moderado</v>
      </c>
      <c r="AG15" s="144">
        <f>IFERROR(IF(V15="Impacto",(Q15-(+Q15*Y15)),IF(V15="Probabilidad",Q15,"")),"")</f>
        <v>0.6</v>
      </c>
      <c r="AH15" s="145" t="str">
        <f t="shared" si="1"/>
        <v>Moderado</v>
      </c>
      <c r="AI15" s="119" t="s">
        <v>135</v>
      </c>
      <c r="AJ15" s="136" t="s">
        <v>280</v>
      </c>
      <c r="AK15" s="136" t="s">
        <v>273</v>
      </c>
      <c r="AL15" s="136" t="s">
        <v>281</v>
      </c>
      <c r="AM15" s="141">
        <v>45058</v>
      </c>
      <c r="AN15" s="117" t="s">
        <v>325</v>
      </c>
      <c r="AO15" s="118" t="s">
        <v>40</v>
      </c>
      <c r="AP15" s="141">
        <v>45161</v>
      </c>
      <c r="AQ15" s="161" t="s">
        <v>329</v>
      </c>
      <c r="AR15" s="165" t="s">
        <v>337</v>
      </c>
      <c r="AS15" s="118" t="s">
        <v>40</v>
      </c>
      <c r="AT15" s="162">
        <v>45239</v>
      </c>
      <c r="AU15" s="162" t="s">
        <v>344</v>
      </c>
      <c r="AV15" s="118" t="s">
        <v>39</v>
      </c>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80.25" customHeight="1" x14ac:dyDescent="0.3">
      <c r="A16" s="242"/>
      <c r="B16" s="242"/>
      <c r="C16" s="259"/>
      <c r="D16" s="237"/>
      <c r="E16" s="237"/>
      <c r="F16" s="237"/>
      <c r="G16" s="238"/>
      <c r="H16" s="237"/>
      <c r="I16" s="262"/>
      <c r="J16" s="262"/>
      <c r="K16" s="248"/>
      <c r="L16" s="250"/>
      <c r="M16" s="252"/>
      <c r="N16" s="256"/>
      <c r="O16" s="252"/>
      <c r="P16" s="265"/>
      <c r="Q16" s="252"/>
      <c r="R16" s="267"/>
      <c r="S16" s="116">
        <v>2</v>
      </c>
      <c r="T16" s="117" t="s">
        <v>266</v>
      </c>
      <c r="U16" s="117" t="s">
        <v>300</v>
      </c>
      <c r="V16" s="163" t="s">
        <v>4</v>
      </c>
      <c r="W16" s="119" t="s">
        <v>14</v>
      </c>
      <c r="X16" s="119" t="s">
        <v>9</v>
      </c>
      <c r="Y16" s="120" t="s">
        <v>271</v>
      </c>
      <c r="Z16" s="119" t="s">
        <v>19</v>
      </c>
      <c r="AA16" s="119" t="s">
        <v>22</v>
      </c>
      <c r="AB16" s="119" t="s">
        <v>118</v>
      </c>
      <c r="AC16" s="149">
        <f>IFERROR(IF(AND(V15="Probabilidad",V16="Probabilidad"),(AE15-(+AE15*Y16)),IF(V16="Probabilidad",(N15-(+N15*Y16)),IF(V16="Impacto",AE15,""))),"")</f>
        <v>0.216</v>
      </c>
      <c r="AD16" s="143" t="str">
        <f t="shared" ref="AD16" si="4">IFERROR(IF(AC16="","",IF(AC16&lt;=0.2,"Muy Baja",IF(AC16&lt;=0.4,"Baja",IF(AC16&lt;=0.6,"Media",IF(AC16&lt;=0.8,"Alta","Muy Alta"))))),"")</f>
        <v>Baja</v>
      </c>
      <c r="AE16" s="150">
        <f t="shared" si="0"/>
        <v>0.216</v>
      </c>
      <c r="AF16" s="143" t="str">
        <f t="shared" ref="AF16" si="5">IFERROR(IF(AG16="","",IF(AG16&lt;=0.2,"Leve",IF(AG16&lt;=0.4,"Menor",IF(AG16&lt;=0.6,"Moderado",IF(AG16&lt;=0.8,"Mayor","Catastrófico"))))),"")</f>
        <v>Moderado</v>
      </c>
      <c r="AG16" s="144">
        <f>IFERROR(IF(AND(V15="Impacto",V16="Impacto"),(AG15-(+AG15*Y16)),IF(V16="Impacto",($M$10-(+$M$10*Y16)),IF(V16="Probabilidad",AG15,""))),"")</f>
        <v>0.6</v>
      </c>
      <c r="AH16" s="143" t="str">
        <f t="shared" si="1"/>
        <v>Moderado</v>
      </c>
      <c r="AI16" s="119" t="s">
        <v>135</v>
      </c>
      <c r="AJ16" s="136" t="s">
        <v>282</v>
      </c>
      <c r="AK16" s="136" t="s">
        <v>273</v>
      </c>
      <c r="AL16" s="136" t="s">
        <v>283</v>
      </c>
      <c r="AM16" s="141">
        <v>45058</v>
      </c>
      <c r="AN16" s="117" t="s">
        <v>320</v>
      </c>
      <c r="AO16" s="118" t="s">
        <v>40</v>
      </c>
      <c r="AP16" s="141">
        <v>45161</v>
      </c>
      <c r="AQ16" s="151" t="s">
        <v>330</v>
      </c>
      <c r="AR16" s="165" t="s">
        <v>337</v>
      </c>
      <c r="AS16" s="118" t="s">
        <v>39</v>
      </c>
      <c r="AT16" s="162">
        <v>45239</v>
      </c>
      <c r="AU16" s="162" t="s">
        <v>341</v>
      </c>
      <c r="AV16" s="118" t="s">
        <v>39</v>
      </c>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ht="75" customHeight="1" x14ac:dyDescent="0.3">
      <c r="A17" s="243"/>
      <c r="B17" s="243"/>
      <c r="C17" s="260"/>
      <c r="D17" s="237"/>
      <c r="E17" s="237"/>
      <c r="F17" s="237"/>
      <c r="G17" s="238"/>
      <c r="H17" s="237"/>
      <c r="I17" s="263"/>
      <c r="J17" s="263"/>
      <c r="K17" s="248"/>
      <c r="L17" s="251"/>
      <c r="M17" s="247"/>
      <c r="N17" s="257"/>
      <c r="O17" s="247"/>
      <c r="P17" s="266"/>
      <c r="Q17" s="247"/>
      <c r="R17" s="254"/>
      <c r="S17" s="116">
        <v>3</v>
      </c>
      <c r="T17" s="117" t="s">
        <v>267</v>
      </c>
      <c r="U17" s="117" t="s">
        <v>301</v>
      </c>
      <c r="V17" s="163" t="s">
        <v>4</v>
      </c>
      <c r="W17" s="119" t="s">
        <v>15</v>
      </c>
      <c r="X17" s="119" t="s">
        <v>9</v>
      </c>
      <c r="Y17" s="120" t="s">
        <v>284</v>
      </c>
      <c r="Z17" s="119" t="s">
        <v>19</v>
      </c>
      <c r="AA17" s="119" t="s">
        <v>22</v>
      </c>
      <c r="AB17" s="119" t="s">
        <v>118</v>
      </c>
      <c r="AC17" s="149">
        <f>IFERROR(IF(AND(V16="Probabilidad",V17="Probabilidad"),(AE16-(+AE16*Y17)),IF(V17="Probabilidad",(N16-(+N16*Y17)),IF(V17="Impacto",AE16,""))),"")</f>
        <v>0.1512</v>
      </c>
      <c r="AD17" s="143" t="str">
        <f t="shared" ref="AD17" si="6">IFERROR(IF(AC17="","",IF(AC17&lt;=0.2,"Muy Baja",IF(AC17&lt;=0.4,"Baja",IF(AC17&lt;=0.6,"Media",IF(AC17&lt;=0.8,"Alta","Muy Alta"))))),"")</f>
        <v>Muy Baja</v>
      </c>
      <c r="AE17" s="150">
        <f t="shared" si="0"/>
        <v>0.1512</v>
      </c>
      <c r="AF17" s="143" t="str">
        <f t="shared" ref="AF17" si="7">IFERROR(IF(AG17="","",IF(AG17&lt;=0.2,"Leve",IF(AG17&lt;=0.4,"Menor",IF(AG17&lt;=0.6,"Moderado",IF(AG17&lt;=0.8,"Mayor","Catastrófico"))))),"")</f>
        <v>Moderado</v>
      </c>
      <c r="AG17" s="144">
        <f>IFERROR(IF(AND(V16="Impacto",V17="Impacto"),(AG16-(+AG16*Y17)),IF(V17="Impacto",($M$10-(+$M$10*Y17)),IF(V17="Probabilidad",AG16,""))),"")</f>
        <v>0.6</v>
      </c>
      <c r="AH17" s="143" t="str">
        <f t="shared" si="1"/>
        <v>Moderado</v>
      </c>
      <c r="AI17" s="119" t="s">
        <v>135</v>
      </c>
      <c r="AJ17" s="136" t="s">
        <v>319</v>
      </c>
      <c r="AK17" s="136" t="s">
        <v>273</v>
      </c>
      <c r="AL17" s="136" t="s">
        <v>283</v>
      </c>
      <c r="AM17" s="141">
        <v>45058</v>
      </c>
      <c r="AN17" s="117" t="s">
        <v>318</v>
      </c>
      <c r="AO17" s="118" t="s">
        <v>40</v>
      </c>
      <c r="AP17" s="141">
        <v>45161</v>
      </c>
      <c r="AQ17" s="161" t="s">
        <v>331</v>
      </c>
      <c r="AR17" s="165" t="s">
        <v>337</v>
      </c>
      <c r="AS17" s="118" t="s">
        <v>40</v>
      </c>
      <c r="AT17" s="162">
        <v>45239</v>
      </c>
      <c r="AU17" s="162" t="s">
        <v>342</v>
      </c>
      <c r="AV17" s="118" t="s">
        <v>39</v>
      </c>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ht="118.5" customHeight="1" x14ac:dyDescent="0.3">
      <c r="A18" s="241">
        <v>3</v>
      </c>
      <c r="B18" s="241" t="s">
        <v>228</v>
      </c>
      <c r="C18" s="258" t="s">
        <v>240</v>
      </c>
      <c r="D18" s="237" t="s">
        <v>133</v>
      </c>
      <c r="E18" s="237" t="s">
        <v>259</v>
      </c>
      <c r="F18" s="237" t="s">
        <v>260</v>
      </c>
      <c r="G18" s="238" t="s">
        <v>294</v>
      </c>
      <c r="H18" s="237" t="s">
        <v>124</v>
      </c>
      <c r="I18" s="261" t="s">
        <v>246</v>
      </c>
      <c r="J18" s="261" t="s">
        <v>250</v>
      </c>
      <c r="K18" s="248">
        <v>50</v>
      </c>
      <c r="L18" s="264" t="str">
        <f>IF(K18&lt;=0,"",IF(K18&lt;=2,"Muy Baja",IF(K18&lt;=24,"Baja",IF(K18&lt;=500,"Media",IF(K18&lt;=5000,"Alta","Muy Alta")))))</f>
        <v>Media</v>
      </c>
      <c r="M18" s="246">
        <f>IF(L18="","",IF(L18="Muy Baja",0.2,IF(L18="Baja",0.4,IF(L18="Media",0.6,IF(L18="Alta",0.8,IF(L18="Muy Alta",1,))))))</f>
        <v>0.6</v>
      </c>
      <c r="N18" s="255" t="s">
        <v>148</v>
      </c>
      <c r="O18" s="246" t="str">
        <f>IF(NOT(ISERROR(MATCH(N18,_xlfn.ANCHORARRAY(#REF!),0))),#REF!&amp;"Por favor no seleccionar los criterios de impacto",N18)</f>
        <v xml:space="preserve">     Entre 100 y 500 SMLMV </v>
      </c>
      <c r="P18" s="264" t="str">
        <f>IF(OR(O18='[1]Tabla Impacto'!$C$11,O18='[1]Tabla Impacto'!$D$11),"Leve",IF(OR(O18='[1]Tabla Impacto'!$C$12,O18='[1]Tabla Impacto'!$D$12),"Menor",IF(OR(O18='[1]Tabla Impacto'!$C$13,O18='[1]Tabla Impacto'!$D$13),"Moderado",IF(OR(O18='[1]Tabla Impacto'!$C$14,O18='[1]Tabla Impacto'!$D$14),"Mayor",IF(OR(O18='[1]Tabla Impacto'!$C$15,O18='[1]Tabla Impacto'!$D$15),"Catastrófico","")))))</f>
        <v>Mayor</v>
      </c>
      <c r="Q18" s="246">
        <f>IF(P18="","",IF(P18="Leve",0.2,IF(P18="Menor",0.4,IF(P18="Moderado",0.6,IF(P18="Mayor",0.8,IF(P18="Catastrófico",1,))))))</f>
        <v>0.8</v>
      </c>
      <c r="R18" s="253" t="str">
        <f>IF(OR(AND(L18="Muy Baja",P18="Leve"),AND(L18="Muy Baja",P18="Menor"),AND(L18="Baja",P18="Leve")),"Bajo",IF(OR(AND(L18="Muy baja",P18="Moderado"),AND(L18="Baja",P18="Menor"),AND(L18="Baja",P18="Moderado"),AND(L18="Media",P18="Leve"),AND(L18="Media",P18="Menor"),AND(L18="Media",P18="Moderado"),AND(L18="Alta",P18="Leve"),AND(L18="Alta",P18="Menor")),"Moderado",IF(OR(AND(L18="Muy Baja",P18="Mayor"),AND(L18="Baja",P18="Mayor"),AND(L18="Media",P18="Mayor"),AND(L18="Alta",P18="Moderado"),AND(L18="Alta",P18="Mayor"),AND(L18="Muy Alta",P18="Leve"),AND(L18="Muy Alta",P18="Menor"),AND(L18="Muy Alta",P18="Moderado"),AND(L18="Muy Alta",P18="Mayor")),"Alto",IF(OR(AND(L18="Muy Baja",P18="Catastrófico"),AND(L18="Baja",P18="Catastrófico"),AND(L18="Media",P18="Catastrófico"),AND(L18="Alta",P18="Catastrófico"),AND(L18="Muy Alta",P18="Catastrófico")),"Extremo",""))))</f>
        <v>Alto</v>
      </c>
      <c r="S18" s="116">
        <v>1</v>
      </c>
      <c r="T18" s="166" t="s">
        <v>268</v>
      </c>
      <c r="U18" s="136" t="s">
        <v>302</v>
      </c>
      <c r="V18" s="163" t="s">
        <v>4</v>
      </c>
      <c r="W18" s="119" t="s">
        <v>14</v>
      </c>
      <c r="X18" s="119" t="s">
        <v>9</v>
      </c>
      <c r="Y18" s="120" t="s">
        <v>271</v>
      </c>
      <c r="Z18" s="119" t="s">
        <v>19</v>
      </c>
      <c r="AA18" s="119" t="s">
        <v>22</v>
      </c>
      <c r="AB18" s="119" t="s">
        <v>119</v>
      </c>
      <c r="AC18" s="142">
        <f>IFERROR(IF(V18="Probabilidad",(M18-(+M18*Y18)),IF(V18="Impacto",M18,"")),"")</f>
        <v>0.36</v>
      </c>
      <c r="AD18" s="143" t="str">
        <f>IFERROR(IF(AC18="","",IF(AC18&lt;=0.2,"Muy Baja",IF(AC18&lt;=0.4,"Baja",IF(AC18&lt;=0.6,"Media",IF(AC18&lt;=0.8,"Alta","Muy Alta"))))),"")</f>
        <v>Baja</v>
      </c>
      <c r="AE18" s="144">
        <f t="shared" si="0"/>
        <v>0.36</v>
      </c>
      <c r="AF18" s="143" t="str">
        <f>IFERROR(IF(AG18="","",IF(AG18&lt;=0.2,"Leve",IF(AG18&lt;=0.4,"Menor",IF(AG18&lt;=0.6,"Moderado",IF(AG18&lt;=0.8,"Mayor","Catastrófico"))))),"")</f>
        <v>Mayor</v>
      </c>
      <c r="AG18" s="144">
        <f>IFERROR(IF(V18="Impacto",(Q18-(+Q18*Y18)),IF(V18="Probabilidad",Q18,"")),"")</f>
        <v>0.8</v>
      </c>
      <c r="AH18" s="145" t="str">
        <f t="shared" si="1"/>
        <v>Alto</v>
      </c>
      <c r="AI18" s="119" t="s">
        <v>135</v>
      </c>
      <c r="AJ18" s="136" t="s">
        <v>285</v>
      </c>
      <c r="AK18" s="136" t="s">
        <v>286</v>
      </c>
      <c r="AL18" s="136" t="s">
        <v>287</v>
      </c>
      <c r="AM18" s="141">
        <v>45058</v>
      </c>
      <c r="AN18" s="117" t="s">
        <v>322</v>
      </c>
      <c r="AO18" s="118" t="s">
        <v>40</v>
      </c>
      <c r="AP18" s="141">
        <v>45161</v>
      </c>
      <c r="AQ18" s="161" t="s">
        <v>324</v>
      </c>
      <c r="AR18" s="165" t="s">
        <v>337</v>
      </c>
      <c r="AS18" s="118" t="s">
        <v>40</v>
      </c>
      <c r="AT18" s="162">
        <v>45239</v>
      </c>
      <c r="AU18" s="162" t="s">
        <v>343</v>
      </c>
      <c r="AV18" s="118" t="s">
        <v>39</v>
      </c>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4" ht="92.25" customHeight="1" x14ac:dyDescent="0.3">
      <c r="A19" s="243"/>
      <c r="B19" s="243"/>
      <c r="C19" s="260"/>
      <c r="D19" s="237"/>
      <c r="E19" s="237"/>
      <c r="F19" s="237"/>
      <c r="G19" s="238"/>
      <c r="H19" s="237"/>
      <c r="I19" s="263"/>
      <c r="J19" s="263"/>
      <c r="K19" s="248"/>
      <c r="L19" s="266"/>
      <c r="M19" s="247"/>
      <c r="N19" s="257"/>
      <c r="O19" s="247"/>
      <c r="P19" s="266"/>
      <c r="Q19" s="247"/>
      <c r="R19" s="254"/>
      <c r="S19" s="116">
        <v>2</v>
      </c>
      <c r="T19" s="117" t="s">
        <v>269</v>
      </c>
      <c r="U19" s="117" t="s">
        <v>303</v>
      </c>
      <c r="V19" s="163" t="s">
        <v>4</v>
      </c>
      <c r="W19" s="119" t="s">
        <v>14</v>
      </c>
      <c r="X19" s="119" t="s">
        <v>9</v>
      </c>
      <c r="Y19" s="120" t="s">
        <v>271</v>
      </c>
      <c r="Z19" s="119" t="s">
        <v>19</v>
      </c>
      <c r="AA19" s="119" t="s">
        <v>22</v>
      </c>
      <c r="AB19" s="119" t="s">
        <v>119</v>
      </c>
      <c r="AC19" s="149">
        <f>IFERROR(IF(AND(V18="Probabilidad",V19="Probabilidad"),(AE18-(+AE18*Y19)),IF(V19="Probabilidad",(N18-(+N18*Y19)),IF(V19="Impacto",AE18,""))),"")</f>
        <v>0.216</v>
      </c>
      <c r="AD19" s="143" t="str">
        <f t="shared" ref="AD19" si="8">IFERROR(IF(AC19="","",IF(AC19&lt;=0.2,"Muy Baja",IF(AC19&lt;=0.4,"Baja",IF(AC19&lt;=0.6,"Media",IF(AC19&lt;=0.8,"Alta","Muy Alta"))))),"")</f>
        <v>Baja</v>
      </c>
      <c r="AE19" s="150">
        <f t="shared" si="0"/>
        <v>0.216</v>
      </c>
      <c r="AF19" s="143" t="str">
        <f t="shared" ref="AF19:AF20" si="9">IFERROR(IF(AG19="","",IF(AG19&lt;=0.2,"Leve",IF(AG19&lt;=0.4,"Menor",IF(AG19&lt;=0.6,"Moderado",IF(AG19&lt;=0.8,"Mayor","Catastrófico"))))),"")</f>
        <v>Mayor</v>
      </c>
      <c r="AG19" s="144">
        <f>IFERROR(IF(AND(V18="Impacto",V19="Impacto"),(AG18-(+AG18*Y19)),IF(V19="Impacto",($M$10-(+$M$10*Y19)),IF(V19="Probabilidad",AG18,""))),"")</f>
        <v>0.8</v>
      </c>
      <c r="AH19" s="143" t="str">
        <f t="shared" si="1"/>
        <v>Alto</v>
      </c>
      <c r="AI19" s="119" t="s">
        <v>135</v>
      </c>
      <c r="AJ19" s="136" t="s">
        <v>288</v>
      </c>
      <c r="AK19" s="136" t="s">
        <v>286</v>
      </c>
      <c r="AL19" s="136" t="s">
        <v>289</v>
      </c>
      <c r="AM19" s="141">
        <v>45058</v>
      </c>
      <c r="AN19" s="117" t="s">
        <v>321</v>
      </c>
      <c r="AO19" s="118" t="s">
        <v>40</v>
      </c>
      <c r="AP19" s="141">
        <v>45161</v>
      </c>
      <c r="AQ19" s="164" t="s">
        <v>333</v>
      </c>
      <c r="AR19" s="165" t="s">
        <v>337</v>
      </c>
      <c r="AS19" s="118" t="s">
        <v>40</v>
      </c>
      <c r="AT19" s="162">
        <v>45239</v>
      </c>
      <c r="AU19" s="162" t="s">
        <v>345</v>
      </c>
      <c r="AV19" s="118" t="s">
        <v>39</v>
      </c>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4" ht="132" customHeight="1" x14ac:dyDescent="0.3">
      <c r="A20" s="116">
        <v>4</v>
      </c>
      <c r="B20" s="116" t="s">
        <v>228</v>
      </c>
      <c r="C20" s="138" t="s">
        <v>240</v>
      </c>
      <c r="D20" s="117" t="s">
        <v>133</v>
      </c>
      <c r="E20" s="117" t="s">
        <v>261</v>
      </c>
      <c r="F20" s="117" t="s">
        <v>262</v>
      </c>
      <c r="G20" s="156" t="s">
        <v>295</v>
      </c>
      <c r="H20" s="117" t="s">
        <v>124</v>
      </c>
      <c r="I20" s="117" t="s">
        <v>246</v>
      </c>
      <c r="J20" s="117" t="s">
        <v>250</v>
      </c>
      <c r="K20" s="118">
        <v>40</v>
      </c>
      <c r="L20" s="158" t="str">
        <f>IF(K20&lt;=0,"",IF(K20&lt;=2,"Muy Baja",IF(K20&lt;=24,"Baja",IF(K20&lt;=500,"Media",IF(K20&lt;=5000,"Alta","Muy Alta")))))</f>
        <v>Media</v>
      </c>
      <c r="M20" s="157">
        <f>IF(L20="","",IF(L20="Muy Baja",0.2,IF(L20="Baja",0.4,IF(L20="Media",0.6,IF(L20="Alta",0.8,IF(L20="Muy Alta",1,))))))</f>
        <v>0.6</v>
      </c>
      <c r="N20" s="160" t="s">
        <v>146</v>
      </c>
      <c r="O20" s="160" t="s">
        <v>146</v>
      </c>
      <c r="P20" s="158" t="str">
        <f>IF(OR(O20='[1]Tabla Impacto'!$C$11,O20='[1]Tabla Impacto'!$D$11),"Leve",IF(OR(O20='[1]Tabla Impacto'!$C$12,O20='[1]Tabla Impacto'!$D$12),"Menor",IF(OR(O20='[1]Tabla Impacto'!$C$13,O20='[1]Tabla Impacto'!$D$13),"Moderado",IF(OR(O20='[1]Tabla Impacto'!$C$14,O20='[1]Tabla Impacto'!$D$14),"Mayor",IF(OR(O20='[1]Tabla Impacto'!$C$15,O20='[1]Tabla Impacto'!$D$15),"Catastrófico","")))))</f>
        <v>Moderado</v>
      </c>
      <c r="Q20" s="157">
        <f t="shared" ref="Q20" si="10">IF(P20="","",IF(P20="Leve",0.2,IF(P20="Menor",0.4,IF(P20="Moderado",0.6,IF(P20="Mayor",0.8,IF(P20="Catastrófico",1,))))))</f>
        <v>0.6</v>
      </c>
      <c r="R20" s="159" t="str">
        <f t="shared" ref="R20" si="11">IF(OR(AND(L20="Muy Baja",P20="Leve"),AND(L20="Muy Baja",P20="Menor"),AND(L20="Baja",P20="Leve")),"Bajo",IF(OR(AND(L20="Muy baja",P20="Moderado"),AND(L20="Baja",P20="Menor"),AND(L20="Baja",P20="Moderado"),AND(L20="Media",P20="Leve"),AND(L20="Media",P20="Menor"),AND(L20="Media",P20="Moderado"),AND(L20="Alta",P20="Leve"),AND(L20="Alta",P20="Menor")),"Moderado",IF(OR(AND(L20="Muy Baja",P20="Mayor"),AND(L20="Baja",P20="Mayor"),AND(L20="Media",P20="Mayor"),AND(L20="Alta",P20="Moderado"),AND(L20="Alta",P20="Mayor"),AND(L20="Muy Alta",P20="Leve"),AND(L20="Muy Alta",P20="Menor"),AND(L20="Muy Alta",P20="Moderado"),AND(L20="Muy Alta",P20="Mayor")),"Alto",IF(OR(AND(L20="Muy Baja",P20="Catastrófico"),AND(L20="Baja",P20="Catastrófico"),AND(L20="Media",P20="Catastrófico"),AND(L20="Alta",P20="Catastrófico"),AND(L20="Muy Alta",P20="Catastrófico")),"Extremo",""))))</f>
        <v>Moderado</v>
      </c>
      <c r="S20" s="116">
        <v>1</v>
      </c>
      <c r="T20" s="117" t="s">
        <v>270</v>
      </c>
      <c r="U20" s="136" t="s">
        <v>304</v>
      </c>
      <c r="V20" s="137" t="s">
        <v>4</v>
      </c>
      <c r="W20" s="119" t="s">
        <v>14</v>
      </c>
      <c r="X20" s="119" t="s">
        <v>9</v>
      </c>
      <c r="Y20" s="120" t="s">
        <v>271</v>
      </c>
      <c r="Z20" s="119" t="s">
        <v>19</v>
      </c>
      <c r="AA20" s="119" t="s">
        <v>22</v>
      </c>
      <c r="AB20" s="119" t="s">
        <v>119</v>
      </c>
      <c r="AC20" s="142">
        <f>IFERROR(IF(V20="Probabilidad",(M20-(+M20*Y20)),IF(V20="Impacto",M20,"")),"")</f>
        <v>0.36</v>
      </c>
      <c r="AD20" s="143" t="str">
        <f>IFERROR(IF(AC20="","",IF(AC20&lt;=0.2,"Muy Baja",IF(AC20&lt;=0.4,"Baja",IF(AC20&lt;=0.6,"Media",IF(AC20&lt;=0.8,"Alta","Muy Alta"))))),"")</f>
        <v>Baja</v>
      </c>
      <c r="AE20" s="144">
        <f t="shared" si="0"/>
        <v>0.36</v>
      </c>
      <c r="AF20" s="143" t="str">
        <f t="shared" si="9"/>
        <v>Moderado</v>
      </c>
      <c r="AG20" s="144">
        <f>IFERROR(IF(V20="Impacto",(Q20-(+Q20*Y20)),IF(V20="Probabilidad",Q20,"")),"")</f>
        <v>0.6</v>
      </c>
      <c r="AH20" s="145" t="str">
        <f t="shared" ref="AH20" si="12">IFERROR(IF(OR(AND(AD20="Muy Baja",AF20="Leve"),AND(AD20="Muy Baja",AF20="Menor"),AND(AD20="Baja",AF20="Leve")),"Bajo",IF(OR(AND(AD20="Muy baja",AF20="Moderado"),AND(AD20="Baja",AF20="Menor"),AND(AD20="Baja",AF20="Moderado"),AND(AD20="Media",AF20="Leve"),AND(AD20="Media",AF20="Menor"),AND(AD20="Media",AF20="Moderado"),AND(AD20="Alta",AF20="Leve"),AND(AD20="Alta",AF20="Menor")),"Moderado",IF(OR(AND(AD20="Muy Baja",AF20="Mayor"),AND(AD20="Baja",AF20="Mayor"),AND(AD20="Media",AF20="Mayor"),AND(AD20="Alta",AF20="Moderado"),AND(AD20="Alta",AF20="Mayor"),AND(AD20="Muy Alta",AF20="Leve"),AND(AD20="Muy Alta",AF20="Menor"),AND(AD20="Muy Alta",AF20="Moderado"),AND(AD20="Muy Alta",AF20="Mayor")),"Alto",IF(OR(AND(AD20="Muy Baja",AF20="Catastrófico"),AND(AD20="Baja",AF20="Catastrófico"),AND(AD20="Media",AF20="Catastrófico"),AND(AD20="Alta",AF20="Catastrófico"),AND(AD20="Muy Alta",AF20="Catastrófico")),"Extremo","")))),"")</f>
        <v>Moderado</v>
      </c>
      <c r="AI20" s="119" t="s">
        <v>135</v>
      </c>
      <c r="AJ20" s="136" t="s">
        <v>290</v>
      </c>
      <c r="AK20" s="136" t="s">
        <v>291</v>
      </c>
      <c r="AL20" s="136" t="s">
        <v>305</v>
      </c>
      <c r="AM20" s="141">
        <v>45058</v>
      </c>
      <c r="AN20" s="117" t="s">
        <v>323</v>
      </c>
      <c r="AO20" s="118" t="s">
        <v>40</v>
      </c>
      <c r="AP20" s="141">
        <v>45161</v>
      </c>
      <c r="AQ20" s="161" t="s">
        <v>332</v>
      </c>
      <c r="AR20" s="165" t="s">
        <v>337</v>
      </c>
      <c r="AS20" s="118" t="s">
        <v>39</v>
      </c>
      <c r="AT20" s="162">
        <v>45239</v>
      </c>
      <c r="AU20" s="162" t="s">
        <v>346</v>
      </c>
      <c r="AV20" s="118" t="s">
        <v>39</v>
      </c>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row>
    <row r="21" spans="1:74" ht="49.5" customHeight="1" x14ac:dyDescent="0.3">
      <c r="A21" s="115"/>
      <c r="B21" s="134"/>
      <c r="C21" s="139"/>
      <c r="D21" s="229" t="s">
        <v>130</v>
      </c>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1"/>
    </row>
    <row r="23" spans="1:74" x14ac:dyDescent="0.3">
      <c r="A23" s="121"/>
      <c r="B23" s="122"/>
      <c r="C23" s="122"/>
      <c r="D23" s="122"/>
      <c r="E23" s="122"/>
      <c r="F23" s="122"/>
      <c r="G23" s="122"/>
      <c r="H23" s="1"/>
      <c r="I23" s="1"/>
      <c r="J23" s="1"/>
      <c r="L23" s="125"/>
      <c r="M23" s="122"/>
      <c r="N23" s="122"/>
      <c r="O23" s="122"/>
      <c r="P23" s="122"/>
      <c r="Q23" s="122"/>
      <c r="R23" s="122"/>
      <c r="S23" s="122"/>
      <c r="T23" s="122"/>
      <c r="U23" s="122"/>
      <c r="V23" s="126"/>
      <c r="W23" s="126"/>
      <c r="X23" s="122"/>
      <c r="Y23" s="122"/>
      <c r="Z23" s="122"/>
      <c r="AA23" s="122"/>
      <c r="AB23" s="122"/>
      <c r="AC23" s="127"/>
      <c r="AD23" s="122"/>
      <c r="AE23" s="122"/>
      <c r="AF23" s="122"/>
      <c r="AG23" s="122"/>
      <c r="AH23" s="122"/>
      <c r="AI23" s="127"/>
      <c r="AJ23" s="127"/>
      <c r="AK23" s="122"/>
      <c r="AL23" s="122"/>
      <c r="AM23" s="122"/>
      <c r="AN23" s="122"/>
      <c r="AO23" s="122"/>
      <c r="AP23" s="122"/>
      <c r="AQ23" s="152"/>
    </row>
    <row r="24" spans="1:74" ht="18" x14ac:dyDescent="0.3">
      <c r="A24" s="232" t="s">
        <v>292</v>
      </c>
      <c r="B24" s="232"/>
      <c r="C24" s="232"/>
      <c r="D24" s="232"/>
      <c r="E24" s="232"/>
      <c r="F24" s="232"/>
      <c r="G24" s="232"/>
      <c r="H24" s="1"/>
      <c r="I24" s="1"/>
      <c r="J24" s="1"/>
      <c r="K24" s="226" t="s">
        <v>347</v>
      </c>
      <c r="L24" s="227"/>
      <c r="M24" s="227"/>
      <c r="N24" s="228"/>
      <c r="O24" s="122"/>
      <c r="P24" s="122"/>
      <c r="Q24" s="122"/>
      <c r="R24" s="122"/>
      <c r="S24" s="122"/>
      <c r="T24" s="122"/>
      <c r="U24" s="127"/>
      <c r="V24" s="126"/>
      <c r="W24" s="126"/>
      <c r="X24" s="122"/>
      <c r="Y24" s="126"/>
      <c r="Z24" s="126"/>
      <c r="AA24" s="122"/>
      <c r="AB24" s="122"/>
      <c r="AC24" s="127"/>
      <c r="AD24" s="122"/>
      <c r="AE24" s="122"/>
      <c r="AF24" s="122"/>
      <c r="AG24" s="122"/>
      <c r="AH24" s="122"/>
      <c r="AI24" s="122"/>
      <c r="AJ24" s="122"/>
      <c r="AK24" s="122"/>
      <c r="AL24" s="122"/>
      <c r="AM24" s="122"/>
      <c r="AN24" s="122"/>
      <c r="AO24" s="122"/>
      <c r="AP24" s="122"/>
      <c r="AQ24" s="152"/>
    </row>
    <row r="25" spans="1:74" ht="17.25" thickBot="1" x14ac:dyDescent="0.35">
      <c r="A25"/>
      <c r="B25"/>
      <c r="C25" s="129"/>
      <c r="D25"/>
      <c r="E25"/>
      <c r="F25"/>
      <c r="G25"/>
      <c r="H25" s="1"/>
      <c r="I25" s="1"/>
      <c r="J25" s="1"/>
      <c r="L25" s="123" t="str">
        <f>+IFERROR(VLOOKUP(H25,$H$180:$L$184,3,FALSE)*VLOOKUP(K25,$K$180:$L$184,3,FALSE),"")</f>
        <v/>
      </c>
      <c r="M25"/>
      <c r="N25"/>
      <c r="O25"/>
      <c r="P25"/>
      <c r="Q25"/>
      <c r="R25"/>
      <c r="S25"/>
      <c r="T25"/>
      <c r="U25"/>
      <c r="V25" s="123"/>
      <c r="W25" s="124"/>
      <c r="X25"/>
      <c r="Y25" s="124"/>
      <c r="Z25" s="124"/>
      <c r="AA25" s="129"/>
      <c r="AB25" s="129"/>
      <c r="AC25" s="146"/>
      <c r="AD25" s="129"/>
      <c r="AE25" s="128"/>
      <c r="AF25" s="128"/>
      <c r="AG25" s="129"/>
      <c r="AH25" s="130"/>
      <c r="AI25"/>
      <c r="AJ25"/>
      <c r="AK25"/>
      <c r="AL25" s="129"/>
      <c r="AM25"/>
      <c r="AN25" s="129"/>
      <c r="AO25"/>
      <c r="AP25" s="129"/>
      <c r="AQ25" s="155"/>
    </row>
    <row r="26" spans="1:74" ht="17.45" customHeight="1" thickTop="1" thickBot="1" x14ac:dyDescent="0.35">
      <c r="A26" s="224" t="s">
        <v>217</v>
      </c>
      <c r="B26" s="224"/>
      <c r="C26" s="224"/>
      <c r="D26" s="224"/>
      <c r="E26" s="224"/>
      <c r="F26" s="224"/>
      <c r="G26" s="132" t="s">
        <v>218</v>
      </c>
      <c r="H26" s="224" t="s">
        <v>219</v>
      </c>
      <c r="I26" s="224"/>
      <c r="J26" s="224"/>
      <c r="K26" s="224"/>
      <c r="L26" s="224"/>
      <c r="M26" s="224"/>
      <c r="N26" s="224"/>
      <c r="O26" s="133"/>
      <c r="P26" s="225" t="s">
        <v>220</v>
      </c>
      <c r="Q26" s="225"/>
      <c r="R26" s="225"/>
      <c r="S26" s="224" t="s">
        <v>221</v>
      </c>
      <c r="T26" s="224"/>
      <c r="U26" s="224"/>
      <c r="V26" s="224"/>
      <c r="W26" s="225">
        <v>1</v>
      </c>
      <c r="X26" s="225"/>
      <c r="Y26" s="225"/>
      <c r="Z26" s="225"/>
      <c r="AA26" s="131"/>
      <c r="AB26" s="131"/>
      <c r="AC26" s="147"/>
      <c r="AD26" s="131"/>
      <c r="AE26" s="131"/>
      <c r="AF26" s="131"/>
      <c r="AG26" s="131"/>
      <c r="AH26" s="131"/>
      <c r="AI26" s="131"/>
      <c r="AJ26" s="131"/>
      <c r="AK26" s="131"/>
      <c r="AL26" s="131"/>
      <c r="AM26" s="131"/>
      <c r="AN26" s="131"/>
      <c r="AO26" s="131"/>
      <c r="AP26" s="131"/>
      <c r="AQ26" s="153"/>
    </row>
    <row r="27" spans="1:74" ht="17.25" thickTop="1" x14ac:dyDescent="0.3"/>
  </sheetData>
  <dataConsolidate/>
  <mergeCells count="122">
    <mergeCell ref="P15:P17"/>
    <mergeCell ref="Q15:Q17"/>
    <mergeCell ref="R15:R17"/>
    <mergeCell ref="K11:K14"/>
    <mergeCell ref="B11:B14"/>
    <mergeCell ref="C11:C14"/>
    <mergeCell ref="I11:I14"/>
    <mergeCell ref="J11:J14"/>
    <mergeCell ref="L18:L19"/>
    <mergeCell ref="M18:M19"/>
    <mergeCell ref="N11:N14"/>
    <mergeCell ref="N18:N19"/>
    <mergeCell ref="L11:L14"/>
    <mergeCell ref="P11:P14"/>
    <mergeCell ref="O11:O14"/>
    <mergeCell ref="I18:I19"/>
    <mergeCell ref="J18:J19"/>
    <mergeCell ref="P18:P19"/>
    <mergeCell ref="A15:A17"/>
    <mergeCell ref="B15:B17"/>
    <mergeCell ref="C15:C17"/>
    <mergeCell ref="I15:I17"/>
    <mergeCell ref="J15:J17"/>
    <mergeCell ref="A18:A19"/>
    <mergeCell ref="B18:B19"/>
    <mergeCell ref="C18:C19"/>
    <mergeCell ref="K18:K19"/>
    <mergeCell ref="AU1:AV1"/>
    <mergeCell ref="AC8:AI8"/>
    <mergeCell ref="O18:O19"/>
    <mergeCell ref="S8:AB8"/>
    <mergeCell ref="S9:S10"/>
    <mergeCell ref="T9:T10"/>
    <mergeCell ref="D18:D19"/>
    <mergeCell ref="E18:E19"/>
    <mergeCell ref="F18:F19"/>
    <mergeCell ref="G18:G19"/>
    <mergeCell ref="H18:H19"/>
    <mergeCell ref="D15:D17"/>
    <mergeCell ref="E15:E17"/>
    <mergeCell ref="F15:F17"/>
    <mergeCell ref="G15:G17"/>
    <mergeCell ref="H15:H17"/>
    <mergeCell ref="K15:K17"/>
    <mergeCell ref="L15:L17"/>
    <mergeCell ref="M15:M17"/>
    <mergeCell ref="M11:M14"/>
    <mergeCell ref="Q18:Q19"/>
    <mergeCell ref="R18:R19"/>
    <mergeCell ref="N15:N17"/>
    <mergeCell ref="O15:O17"/>
    <mergeCell ref="AP9:AP10"/>
    <mergeCell ref="AQ9:AQ10"/>
    <mergeCell ref="A5:B5"/>
    <mergeCell ref="A6:B6"/>
    <mergeCell ref="A7:B7"/>
    <mergeCell ref="A8:K8"/>
    <mergeCell ref="D11:D14"/>
    <mergeCell ref="E11:E14"/>
    <mergeCell ref="F11:F14"/>
    <mergeCell ref="G11:G14"/>
    <mergeCell ref="H11:H14"/>
    <mergeCell ref="AJ8:AV8"/>
    <mergeCell ref="AS9:AS10"/>
    <mergeCell ref="AT9:AT10"/>
    <mergeCell ref="AU9:AU10"/>
    <mergeCell ref="Q11:Q14"/>
    <mergeCell ref="R11:R14"/>
    <mergeCell ref="AN9:AN10"/>
    <mergeCell ref="AM9:AM10"/>
    <mergeCell ref="AL9:AL10"/>
    <mergeCell ref="AK9:AK10"/>
    <mergeCell ref="A11:A14"/>
    <mergeCell ref="M9:M10"/>
    <mergeCell ref="S26:V26"/>
    <mergeCell ref="W26:Z26"/>
    <mergeCell ref="A26:F26"/>
    <mergeCell ref="K24:N24"/>
    <mergeCell ref="H26:N26"/>
    <mergeCell ref="P26:R26"/>
    <mergeCell ref="D21:AO21"/>
    <mergeCell ref="A24:G24"/>
    <mergeCell ref="G9:G10"/>
    <mergeCell ref="F9:F10"/>
    <mergeCell ref="E9:E10"/>
    <mergeCell ref="D9:D10"/>
    <mergeCell ref="R9:R10"/>
    <mergeCell ref="N9:N10"/>
    <mergeCell ref="O9:O10"/>
    <mergeCell ref="AO9:AO10"/>
    <mergeCell ref="C9:C10"/>
    <mergeCell ref="B9:B10"/>
    <mergeCell ref="V9:V10"/>
    <mergeCell ref="Q9:Q10"/>
    <mergeCell ref="W9:AB9"/>
    <mergeCell ref="A9:A10"/>
    <mergeCell ref="P9:P10"/>
    <mergeCell ref="H9:H10"/>
    <mergeCell ref="AU2:AV2"/>
    <mergeCell ref="AU3:AV3"/>
    <mergeCell ref="AU4:AV4"/>
    <mergeCell ref="AJ9:AJ10"/>
    <mergeCell ref="C7:AV7"/>
    <mergeCell ref="C6:AV6"/>
    <mergeCell ref="C5:AV5"/>
    <mergeCell ref="I9:I10"/>
    <mergeCell ref="J9:J10"/>
    <mergeCell ref="AI9:AI10"/>
    <mergeCell ref="AH9:AH10"/>
    <mergeCell ref="AG9:AG10"/>
    <mergeCell ref="AC9:AC10"/>
    <mergeCell ref="U9:U10"/>
    <mergeCell ref="AV9:AV10"/>
    <mergeCell ref="A1:D4"/>
    <mergeCell ref="AF9:AF10"/>
    <mergeCell ref="AD9:AD10"/>
    <mergeCell ref="AE9:AE10"/>
    <mergeCell ref="K9:K10"/>
    <mergeCell ref="L9:L10"/>
    <mergeCell ref="L8:R8"/>
    <mergeCell ref="AR9:AR10"/>
    <mergeCell ref="E1:AT4"/>
  </mergeCells>
  <conditionalFormatting sqref="L11">
    <cfRule type="cellIs" dxfId="77" priority="347" operator="equal">
      <formula>"Muy Alta"</formula>
    </cfRule>
    <cfRule type="cellIs" dxfId="76" priority="348" operator="equal">
      <formula>"Alta"</formula>
    </cfRule>
    <cfRule type="cellIs" dxfId="75" priority="351" operator="equal">
      <formula>"Muy Baja"</formula>
    </cfRule>
    <cfRule type="cellIs" dxfId="74" priority="349" operator="equal">
      <formula>"Media"</formula>
    </cfRule>
    <cfRule type="cellIs" dxfId="73" priority="350" operator="equal">
      <formula>"Baja"</formula>
    </cfRule>
  </conditionalFormatting>
  <conditionalFormatting sqref="L15">
    <cfRule type="cellIs" dxfId="72" priority="70" operator="equal">
      <formula>"Baja"</formula>
    </cfRule>
    <cfRule type="cellIs" dxfId="71" priority="68" operator="equal">
      <formula>"Alta"</formula>
    </cfRule>
    <cfRule type="cellIs" dxfId="70" priority="71" operator="equal">
      <formula>"Muy Baja"</formula>
    </cfRule>
    <cfRule type="cellIs" dxfId="69" priority="69" operator="equal">
      <formula>"Media"</formula>
    </cfRule>
    <cfRule type="cellIs" dxfId="68" priority="67" operator="equal">
      <formula>"Muy Alta"</formula>
    </cfRule>
  </conditionalFormatting>
  <conditionalFormatting sqref="L18">
    <cfRule type="cellIs" dxfId="67" priority="85" operator="equal">
      <formula>"Baja"</formula>
    </cfRule>
    <cfRule type="cellIs" dxfId="66" priority="86" operator="equal">
      <formula>"Muy Baja"</formula>
    </cfRule>
    <cfRule type="cellIs" dxfId="65" priority="84" operator="equal">
      <formula>"Media"</formula>
    </cfRule>
    <cfRule type="cellIs" dxfId="64" priority="83" operator="equal">
      <formula>"Alta"</formula>
    </cfRule>
    <cfRule type="cellIs" dxfId="63" priority="82" operator="equal">
      <formula>"Muy Alta"</formula>
    </cfRule>
  </conditionalFormatting>
  <conditionalFormatting sqref="L20">
    <cfRule type="cellIs" dxfId="62" priority="26" operator="equal">
      <formula>"Media"</formula>
    </cfRule>
    <cfRule type="cellIs" dxfId="61" priority="25" operator="equal">
      <formula>"Alta"</formula>
    </cfRule>
    <cfRule type="cellIs" dxfId="60" priority="24" operator="equal">
      <formula>"Muy Alta"</formula>
    </cfRule>
    <cfRule type="cellIs" dxfId="59" priority="28" operator="equal">
      <formula>"Muy Baja"</formula>
    </cfRule>
    <cfRule type="cellIs" dxfId="58" priority="27" operator="equal">
      <formula>"Baja"</formula>
    </cfRule>
  </conditionalFormatting>
  <conditionalFormatting sqref="O11:O15">
    <cfRule type="containsText" dxfId="57" priority="57" operator="containsText" text="❌">
      <formula>NOT(ISERROR(SEARCH("❌",O11)))</formula>
    </cfRule>
  </conditionalFormatting>
  <conditionalFormatting sqref="O18">
    <cfRule type="containsText" dxfId="56" priority="72" operator="containsText" text="❌">
      <formula>NOT(ISERROR(SEARCH("❌",O18)))</formula>
    </cfRule>
  </conditionalFormatting>
  <conditionalFormatting sqref="P11">
    <cfRule type="cellIs" dxfId="55" priority="346" operator="equal">
      <formula>"Leve"</formula>
    </cfRule>
    <cfRule type="cellIs" dxfId="54" priority="345" operator="equal">
      <formula>"Menor"</formula>
    </cfRule>
    <cfRule type="cellIs" dxfId="53" priority="344" operator="equal">
      <formula>"Moderado"</formula>
    </cfRule>
    <cfRule type="cellIs" dxfId="52" priority="342" operator="equal">
      <formula>"Catastrófico"</formula>
    </cfRule>
    <cfRule type="cellIs" dxfId="51" priority="343" operator="equal">
      <formula>"Mayor"</formula>
    </cfRule>
  </conditionalFormatting>
  <conditionalFormatting sqref="P15">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6" operator="equal">
      <formula>"Leve"</formula>
    </cfRule>
    <cfRule type="cellIs" dxfId="46" priority="65" operator="equal">
      <formula>"Menor"</formula>
    </cfRule>
  </conditionalFormatting>
  <conditionalFormatting sqref="P18">
    <cfRule type="cellIs" dxfId="45" priority="80" operator="equal">
      <formula>"Menor"</formula>
    </cfRule>
    <cfRule type="cellIs" dxfId="44" priority="81" operator="equal">
      <formula>"Leve"</formula>
    </cfRule>
    <cfRule type="cellIs" dxfId="43" priority="77" operator="equal">
      <formula>"Catastrófico"</formula>
    </cfRule>
    <cfRule type="cellIs" dxfId="42" priority="79" operator="equal">
      <formula>"Moderado"</formula>
    </cfRule>
    <cfRule type="cellIs" dxfId="41" priority="78" operator="equal">
      <formula>"Mayor"</formula>
    </cfRule>
  </conditionalFormatting>
  <conditionalFormatting sqref="P20">
    <cfRule type="cellIs" dxfId="40" priority="19" operator="equal">
      <formula>"Catastrófico"</formula>
    </cfRule>
    <cfRule type="cellIs" dxfId="39" priority="23" operator="equal">
      <formula>"Leve"</formula>
    </cfRule>
    <cfRule type="cellIs" dxfId="38" priority="21" operator="equal">
      <formula>"Moderado"</formula>
    </cfRule>
    <cfRule type="cellIs" dxfId="37" priority="20" operator="equal">
      <formula>"Mayor"</formula>
    </cfRule>
    <cfRule type="cellIs" dxfId="36" priority="22" operator="equal">
      <formula>"Menor"</formula>
    </cfRule>
  </conditionalFormatting>
  <conditionalFormatting sqref="R11">
    <cfRule type="cellIs" dxfId="35" priority="341" operator="equal">
      <formula>"Bajo"</formula>
    </cfRule>
    <cfRule type="cellIs" dxfId="34" priority="339" operator="equal">
      <formula>"Alto"</formula>
    </cfRule>
    <cfRule type="cellIs" dxfId="33" priority="338" operator="equal">
      <formula>"Extremo"</formula>
    </cfRule>
    <cfRule type="cellIs" dxfId="32" priority="340" operator="equal">
      <formula>"Moderado"</formula>
    </cfRule>
  </conditionalFormatting>
  <conditionalFormatting sqref="R15">
    <cfRule type="cellIs" dxfId="31" priority="59" operator="equal">
      <formula>"Alto"</formula>
    </cfRule>
    <cfRule type="cellIs" dxfId="30" priority="61" operator="equal">
      <formula>"Bajo"</formula>
    </cfRule>
    <cfRule type="cellIs" dxfId="29" priority="60" operator="equal">
      <formula>"Moderado"</formula>
    </cfRule>
    <cfRule type="cellIs" dxfId="28" priority="58" operator="equal">
      <formula>"Extremo"</formula>
    </cfRule>
  </conditionalFormatting>
  <conditionalFormatting sqref="R18">
    <cfRule type="cellIs" dxfId="27" priority="75" operator="equal">
      <formula>"Moderado"</formula>
    </cfRule>
    <cfRule type="cellIs" dxfId="26" priority="76" operator="equal">
      <formula>"Bajo"</formula>
    </cfRule>
    <cfRule type="cellIs" dxfId="25" priority="73" operator="equal">
      <formula>"Extremo"</formula>
    </cfRule>
    <cfRule type="cellIs" dxfId="24" priority="74" operator="equal">
      <formula>"Alto"</formula>
    </cfRule>
  </conditionalFormatting>
  <conditionalFormatting sqref="R20">
    <cfRule type="cellIs" dxfId="23" priority="18" operator="equal">
      <formula>"Bajo"</formula>
    </cfRule>
    <cfRule type="cellIs" dxfId="22" priority="17" operator="equal">
      <formula>"Moderado"</formula>
    </cfRule>
    <cfRule type="cellIs" dxfId="21" priority="16" operator="equal">
      <formula>"Alto"</formula>
    </cfRule>
    <cfRule type="cellIs" dxfId="20" priority="15" operator="equal">
      <formula>"Extremo"</formula>
    </cfRule>
  </conditionalFormatting>
  <conditionalFormatting sqref="AD11:AD20">
    <cfRule type="cellIs" dxfId="19" priority="9" operator="equal">
      <formula>"Baja"</formula>
    </cfRule>
    <cfRule type="cellIs" dxfId="18" priority="8" operator="equal">
      <formula>"Media"</formula>
    </cfRule>
    <cfRule type="cellIs" dxfId="17" priority="7" operator="equal">
      <formula>"Alta"</formula>
    </cfRule>
    <cfRule type="cellIs" dxfId="16" priority="6" operator="equal">
      <formula>"Muy Alta"</formula>
    </cfRule>
    <cfRule type="cellIs" dxfId="15" priority="10" operator="equal">
      <formula>"Muy Baja"</formula>
    </cfRule>
  </conditionalFormatting>
  <conditionalFormatting sqref="AE23:AE25">
    <cfRule type="cellIs" dxfId="14" priority="352" stopIfTrue="1" operator="equal">
      <formula>#REF!</formula>
    </cfRule>
    <cfRule type="cellIs" dxfId="13" priority="353" operator="equal">
      <formula>#REF!</formula>
    </cfRule>
    <cfRule type="cellIs" dxfId="12" priority="354" operator="equal">
      <formula>#REF!</formula>
    </cfRule>
  </conditionalFormatting>
  <conditionalFormatting sqref="AF11:AF20">
    <cfRule type="cellIs" dxfId="11" priority="5" operator="equal">
      <formula>"Leve"</formula>
    </cfRule>
    <cfRule type="cellIs" dxfId="10" priority="4" operator="equal">
      <formula>"Menor"</formula>
    </cfRule>
    <cfRule type="cellIs" dxfId="9" priority="3" operator="equal">
      <formula>"Moderado"</formula>
    </cfRule>
    <cfRule type="cellIs" dxfId="8" priority="2" operator="equal">
      <formula>"Mayor"</formula>
    </cfRule>
    <cfRule type="cellIs" dxfId="7" priority="1" operator="equal">
      <formula>"Catastrófico"</formula>
    </cfRule>
  </conditionalFormatting>
  <conditionalFormatting sqref="AF23:AF25">
    <cfRule type="cellIs" dxfId="6" priority="355" stopIfTrue="1" operator="equal">
      <formula>#REF!</formula>
    </cfRule>
    <cfRule type="cellIs" dxfId="5" priority="356" stopIfTrue="1" operator="equal">
      <formula>#REF!</formula>
    </cfRule>
    <cfRule type="cellIs" dxfId="4" priority="357" stopIfTrue="1" operator="equal">
      <formula>#REF!</formula>
    </cfRule>
  </conditionalFormatting>
  <conditionalFormatting sqref="AH11:AH20">
    <cfRule type="cellIs" dxfId="3" priority="14" operator="equal">
      <formula>"Bajo"</formula>
    </cfRule>
    <cfRule type="cellIs" dxfId="2" priority="13" operator="equal">
      <formula>"Moderado"</formula>
    </cfRule>
    <cfRule type="cellIs" dxfId="1" priority="12" operator="equal">
      <formula>"Alto"</formula>
    </cfRule>
    <cfRule type="cellIs" dxfId="0" priority="11" operator="equal">
      <formula>"Extremo"</formula>
    </cfRule>
  </conditionalFormatting>
  <dataValidations count="6">
    <dataValidation type="list" allowBlank="1" showInputMessage="1" showErrorMessage="1" sqref="G23" xr:uid="{00000000-0002-0000-0100-000000000000}">
      <formula1>$G$180:$G$189</formula1>
    </dataValidation>
    <dataValidation type="list" allowBlank="1" showInputMessage="1" showErrorMessage="1" sqref="G25 AE25:AF25" xr:uid="{00000000-0002-0000-0100-000001000000}">
      <formula1>#REF!</formula1>
    </dataValidation>
    <dataValidation type="list" allowBlank="1" showInputMessage="1" showErrorMessage="1" sqref="V25" xr:uid="{00000000-0002-0000-0100-000002000000}">
      <formula1>$N$180:$N$181</formula1>
    </dataValidation>
    <dataValidation type="list" allowBlank="1" showInputMessage="1" showErrorMessage="1" sqref="K25" xr:uid="{00000000-0002-0000-0100-000003000000}">
      <formula1>$K$180:$K$184</formula1>
    </dataValidation>
    <dataValidation type="list" allowBlank="1" showInputMessage="1" showErrorMessage="1" sqref="H25:J25" xr:uid="{00000000-0002-0000-0100-000004000000}">
      <formula1>$H$180:$H$184</formula1>
    </dataValidation>
    <dataValidation type="list" allowBlank="1" showInputMessage="1" showErrorMessage="1" sqref="AP25 Y25:AD25 W25 AL25 AN25" xr:uid="{00000000-0002-0000-0100-000005000000}">
      <formula1>$AL$180:$AL$187</formula1>
    </dataValidation>
  </dataValidations>
  <hyperlinks>
    <hyperlink ref="AR12" r:id="rId1" xr:uid="{00000000-0004-0000-0100-000000000000}"/>
    <hyperlink ref="AR11" r:id="rId2" xr:uid="{00000000-0004-0000-0100-000001000000}"/>
    <hyperlink ref="AR13" r:id="rId3" xr:uid="{00000000-0004-0000-0100-000002000000}"/>
    <hyperlink ref="AR14" r:id="rId4" xr:uid="{00000000-0004-0000-0100-000003000000}"/>
    <hyperlink ref="AR15" r:id="rId5" xr:uid="{00000000-0004-0000-0100-000004000000}"/>
    <hyperlink ref="AR16" r:id="rId6" xr:uid="{00000000-0004-0000-0100-000005000000}"/>
    <hyperlink ref="AR17" r:id="rId7" xr:uid="{00000000-0004-0000-0100-000006000000}"/>
    <hyperlink ref="AR18" r:id="rId8" xr:uid="{00000000-0004-0000-0100-000007000000}"/>
    <hyperlink ref="AR19" r:id="rId9" xr:uid="{00000000-0004-0000-0100-000008000000}"/>
    <hyperlink ref="AR20" r:id="rId10" xr:uid="{00000000-0004-0000-0100-000009000000}"/>
  </hyperlinks>
  <pageMargins left="0.7" right="0.7" top="0.75" bottom="0.75" header="0.3" footer="0.3"/>
  <pageSetup orientation="portrait" r:id="rId11"/>
  <drawing r:id="rId12"/>
  <extLst>
    <ext xmlns:x14="http://schemas.microsoft.com/office/spreadsheetml/2009/9/main" uri="{CCE6A557-97BC-4b89-ADB6-D9C93CAAB3DF}">
      <x14:dataValidations xmlns:xm="http://schemas.microsoft.com/office/excel/2006/main" count="23">
        <x14:dataValidation type="list" allowBlank="1" showInputMessage="1" showErrorMessage="1" xr:uid="{00000000-0002-0000-0100-000006000000}">
          <x14:formula1>
            <xm:f>Listas!$A$2:$A$9</xm:f>
          </x14:formula1>
          <xm:sqref>B11 B15 B20 B18</xm:sqref>
        </x14:dataValidation>
        <x14:dataValidation type="list" allowBlank="1" showInputMessage="1" showErrorMessage="1" xr:uid="{00000000-0002-0000-0100-000007000000}">
          <x14:formula1>
            <xm:f>Listas!$B$2:$B$7</xm:f>
          </x14:formula1>
          <xm:sqref>C11 C15 C20 C18</xm:sqref>
        </x14:dataValidation>
        <x14:dataValidation type="list" allowBlank="1" showInputMessage="1" showErrorMessage="1" xr:uid="{00000000-0002-0000-0100-000008000000}">
          <x14:formula1>
            <xm:f>Listas!$C$2:$C$6</xm:f>
          </x14:formula1>
          <xm:sqref>I11 I15 I20 I18</xm:sqref>
        </x14:dataValidation>
        <x14:dataValidation type="list" allowBlank="1" showInputMessage="1" showErrorMessage="1" xr:uid="{00000000-0002-0000-0100-000009000000}">
          <x14:formula1>
            <xm:f>Listas!$D$2:$D$5</xm:f>
          </x14:formula1>
          <xm:sqref>J11 J15 J20 J18</xm:sqref>
        </x14:dataValidation>
        <x14:dataValidation type="custom" allowBlank="1" showInputMessage="1" showErrorMessage="1" error="Recuerde que las acciones se generan bajo la medida de mitigar el riesgo" xr:uid="{00000000-0002-0000-0100-00000A000000}">
          <x14:formula1>
            <xm:f>IF(OR(AL19='Opciones Tratamiento'!$B$2,AL19='Opciones Tratamiento'!$B$3,AL19='Opciones Tratamiento'!$B$4),ISBLANK(AL19),ISTEXT(AL19))</xm:f>
          </x14:formula1>
          <xm:sqref>AQ20</xm:sqref>
        </x14:dataValidation>
        <x14:dataValidation type="list" allowBlank="1" showInputMessage="1" showErrorMessage="1" xr:uid="{00000000-0002-0000-0100-00000B000000}">
          <x14:formula1>
            <xm:f>'Tabla Impacto'!$F$210:$F$221</xm:f>
          </x14:formula1>
          <xm:sqref>N11:N14</xm:sqref>
        </x14:dataValidation>
        <x14:dataValidation type="custom" allowBlank="1" showInputMessage="1" showErrorMessage="1" error="Recuerde que las acciones se generan bajo la medida de mitigar el riesgo" xr:uid="{00000000-0002-0000-0100-00000C000000}">
          <x14:formula1>
            <xm:f>IF(OR(AI11='Opciones Tratamiento'!$B$2,AI11='Opciones Tratamiento'!$B$3,AI11='Opciones Tratamiento'!$B$4),ISBLANK(AI11),ISTEXT(AI11))</xm:f>
          </x14:formula1>
          <xm:sqref>AN11:AN20 AR11:AR20 AQ11:AQ18 AT11:AT20</xm:sqref>
        </x14:dataValidation>
        <x14:dataValidation type="list" allowBlank="1" showInputMessage="1" showErrorMessage="1" xr:uid="{00000000-0002-0000-0100-00000D000000}">
          <x14:formula1>
            <xm:f>'C:\Users\plandeaccion\OneDrive - Escuela Tecnologica Instituto Tecnico Central\A. Vigencia 2022\PAAC 2022\2º LÌNEA DE DEFENCSA\[GESTIÓN DE RECURSOS FÍSICOS.xlsx]Tabla Impacto'!#REF!</xm:f>
          </x14:formula1>
          <xm:sqref>N18 N20:O20</xm:sqref>
        </x14:dataValidation>
        <x14:dataValidation type="list" allowBlank="1" showInputMessage="1" showErrorMessage="1" xr:uid="{00000000-0002-0000-0100-00000E000000}">
          <x14:formula1>
            <xm:f>'C:\Users\ANDRES\Downloads\[Matriz de riesgos_RECURSOS FÍSICOS 2022 (1).xlsx]Tabla Impacto'!#REF!</xm:f>
          </x14:formula1>
          <xm:sqref>N15</xm:sqref>
        </x14:dataValidation>
        <x14:dataValidation type="list" allowBlank="1" showInputMessage="1" showErrorMessage="1" xr:uid="{00000000-0002-0000-0100-00000F000000}">
          <x14:formula1>
            <xm:f>'Opciones Tratamiento'!$B$9:$B$10</xm:f>
          </x14:formula1>
          <xm:sqref>AV11:AV20 AO11:AO20 AS11:AS20</xm:sqref>
        </x14:dataValidation>
        <x14:dataValidation type="list" allowBlank="1" showInputMessage="1" showErrorMessage="1" xr:uid="{00000000-0002-0000-0100-000010000000}">
          <x14:formula1>
            <xm:f>'Tabla Valoración controles'!$D$4:$D$6</xm:f>
          </x14:formula1>
          <xm:sqref>W11:W20</xm:sqref>
        </x14:dataValidation>
        <x14:dataValidation type="list" allowBlank="1" showInputMessage="1" showErrorMessage="1" xr:uid="{00000000-0002-0000-0100-000011000000}">
          <x14:formula1>
            <xm:f>'Tabla Valoración controles'!$D$7:$D$8</xm:f>
          </x14:formula1>
          <xm:sqref>X11:X20</xm:sqref>
        </x14:dataValidation>
        <x14:dataValidation type="list" allowBlank="1" showInputMessage="1" showErrorMessage="1" xr:uid="{00000000-0002-0000-0100-000012000000}">
          <x14:formula1>
            <xm:f>'Tabla Valoración controles'!$D$9:$D$10</xm:f>
          </x14:formula1>
          <xm:sqref>Z11:Z20</xm:sqref>
        </x14:dataValidation>
        <x14:dataValidation type="list" allowBlank="1" showInputMessage="1" showErrorMessage="1" xr:uid="{00000000-0002-0000-0100-000013000000}">
          <x14:formula1>
            <xm:f>'Tabla Valoración controles'!$D$11:$D$12</xm:f>
          </x14:formula1>
          <xm:sqref>AA11:AA20</xm:sqref>
        </x14:dataValidation>
        <x14:dataValidation type="list" allowBlank="1" showInputMessage="1" showErrorMessage="1" xr:uid="{00000000-0002-0000-0100-000014000000}">
          <x14:formula1>
            <xm:f>'Tabla Valoración controles'!$D$13:$D$14</xm:f>
          </x14:formula1>
          <xm:sqref>AB11:AB20</xm:sqref>
        </x14:dataValidation>
        <x14:dataValidation type="list" allowBlank="1" showInputMessage="1" showErrorMessage="1" xr:uid="{00000000-0002-0000-0100-000015000000}">
          <x14:formula1>
            <xm:f>'Opciones Tratamiento'!$B$13:$B$19</xm:f>
          </x14:formula1>
          <xm:sqref>H11:H20</xm:sqref>
        </x14:dataValidation>
        <x14:dataValidation type="list" allowBlank="1" showInputMessage="1" showErrorMessage="1" xr:uid="{00000000-0002-0000-0100-000016000000}">
          <x14:formula1>
            <xm:f>'Opciones Tratamiento'!$E$2:$E$4</xm:f>
          </x14:formula1>
          <xm:sqref>D11:D20</xm:sqref>
        </x14:dataValidation>
        <x14:dataValidation type="list" allowBlank="1" showInputMessage="1" showErrorMessage="1" xr:uid="{00000000-0002-0000-0100-000017000000}">
          <x14:formula1>
            <xm:f>'Opciones Tratamiento'!$B$2:$B$5</xm:f>
          </x14:formula1>
          <xm:sqref>AI11:AI20</xm:sqref>
        </x14:dataValidation>
        <x14:dataValidation type="custom" allowBlank="1" showInputMessage="1" showErrorMessage="1" error="Recuerde que las acciones se generan bajo la medida de mitigar el riesgo" xr:uid="{00000000-0002-0000-0100-000018000000}">
          <x14:formula1>
            <xm:f>IF(OR(AI11='Opciones Tratamiento'!$B$2,AI11='Opciones Tratamiento'!$B$3,AI11='Opciones Tratamiento'!$B$4),ISBLANK(AI11),ISTEXT(AI11))</xm:f>
          </x14:formula1>
          <xm:sqref>AJ11:AJ20</xm:sqref>
        </x14:dataValidation>
        <x14:dataValidation type="custom" allowBlank="1" showInputMessage="1" showErrorMessage="1" error="Recuerde que las acciones se generan bajo la medida de mitigar el riesgo" xr:uid="{00000000-0002-0000-0100-000019000000}">
          <x14:formula1>
            <xm:f>IF(OR(AI11='Opciones Tratamiento'!$B$2,AI11='Opciones Tratamiento'!$B$3,AI11='Opciones Tratamiento'!$B$4),ISBLANK(AI11),ISTEXT(AI11))</xm:f>
          </x14:formula1>
          <xm:sqref>AK11:AK20</xm:sqref>
        </x14:dataValidation>
        <x14:dataValidation type="custom" allowBlank="1" showInputMessage="1" showErrorMessage="1" error="Recuerde que las acciones se generan bajo la medida de mitigar el riesgo" xr:uid="{00000000-0002-0000-0100-00001A000000}">
          <x14:formula1>
            <xm:f>IF(OR(AI11='Opciones Tratamiento'!$B$2,AI11='Opciones Tratamiento'!$B$3,AI11='Opciones Tratamiento'!$B$4),ISBLANK(AI11),ISTEXT(AI11))</xm:f>
          </x14:formula1>
          <xm:sqref>AL11:AL20</xm:sqref>
        </x14:dataValidation>
        <x14:dataValidation type="custom" allowBlank="1" showInputMessage="1" showErrorMessage="1" error="Recuerde que las acciones se generan bajo la medida de mitigar el riesgo" xr:uid="{00000000-0002-0000-0100-00001B000000}">
          <x14:formula1>
            <xm:f>IF(OR(AI11='Opciones Tratamiento'!$B$2,AI11='Opciones Tratamiento'!$B$3,AI11='Opciones Tratamiento'!$B$4),ISBLANK(AI11),ISTEXT(AI11))</xm:f>
          </x14:formula1>
          <xm:sqref>AM11:AM20 AP11:AP20</xm:sqref>
        </x14:dataValidation>
        <x14:dataValidation type="custom" allowBlank="1" showInputMessage="1" showErrorMessage="1" error="Recuerde que las acciones se generan bajo la medida de mitigar el riesgo" xr:uid="{00000000-0002-0000-0100-00001C000000}">
          <x14:formula1>
            <xm:f>IF(OR(AO11='Opciones Tratamiento'!$B$2,AO11='Opciones Tratamiento'!$B$3,AO11='Opciones Tratamiento'!$B$4),ISBLANK(AO11),ISTEXT(AO11))</xm:f>
          </x14:formula1>
          <xm:sqref>AU11:AU20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270" t="s">
        <v>158</v>
      </c>
      <c r="C2" s="270"/>
      <c r="D2" s="270"/>
      <c r="E2" s="270"/>
      <c r="F2" s="270"/>
      <c r="G2" s="270"/>
      <c r="H2" s="270"/>
      <c r="I2" s="270"/>
      <c r="J2" s="307" t="s">
        <v>2</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270"/>
      <c r="C3" s="270"/>
      <c r="D3" s="270"/>
      <c r="E3" s="270"/>
      <c r="F3" s="270"/>
      <c r="G3" s="270"/>
      <c r="H3" s="270"/>
      <c r="I3" s="270"/>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270"/>
      <c r="C4" s="270"/>
      <c r="D4" s="270"/>
      <c r="E4" s="270"/>
      <c r="F4" s="270"/>
      <c r="G4" s="270"/>
      <c r="H4" s="270"/>
      <c r="I4" s="270"/>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318" t="s">
        <v>4</v>
      </c>
      <c r="C6" s="318"/>
      <c r="D6" s="319"/>
      <c r="E6" s="308" t="s">
        <v>115</v>
      </c>
      <c r="F6" s="309"/>
      <c r="G6" s="309"/>
      <c r="H6" s="309"/>
      <c r="I6" s="310"/>
      <c r="J6" s="304" t="e">
        <f>IF(AND('Mapa final'!#REF!="Muy Alta",'Mapa final'!#REF!="Leve"),CONCATENATE("R",'Mapa final'!#REF!),"")</f>
        <v>#REF!</v>
      </c>
      <c r="K6" s="305"/>
      <c r="L6" s="305" t="str">
        <f>IF(AND('Mapa final'!$L$11="Muy Alta",'Mapa final'!$P$11="Leve"),CONCATENATE("R",'Mapa final'!$A$11),"")</f>
        <v/>
      </c>
      <c r="M6" s="305"/>
      <c r="N6" s="305" t="e">
        <f>IF(AND('Mapa final'!#REF!="Muy Alta",'Mapa final'!#REF!="Leve"),CONCATENATE("R",'Mapa final'!#REF!),"")</f>
        <v>#REF!</v>
      </c>
      <c r="O6" s="306"/>
      <c r="P6" s="304" t="e">
        <f>IF(AND('Mapa final'!#REF!="Muy Alta",'Mapa final'!#REF!="Menor"),CONCATENATE("R",'Mapa final'!#REF!),"")</f>
        <v>#REF!</v>
      </c>
      <c r="Q6" s="305"/>
      <c r="R6" s="305" t="str">
        <f>IF(AND('Mapa final'!$L$11="Muy Alta",'Mapa final'!$P$11="Menor"),CONCATENATE("R",'Mapa final'!$A$11),"")</f>
        <v/>
      </c>
      <c r="S6" s="305"/>
      <c r="T6" s="305" t="e">
        <f>IF(AND('Mapa final'!#REF!="Muy Alta",'Mapa final'!#REF!="Menor"),CONCATENATE("R",'Mapa final'!#REF!),"")</f>
        <v>#REF!</v>
      </c>
      <c r="U6" s="306"/>
      <c r="V6" s="304" t="e">
        <f>IF(AND('Mapa final'!#REF!="Muy Alta",'Mapa final'!#REF!="Moderado"),CONCATENATE("R",'Mapa final'!#REF!),"")</f>
        <v>#REF!</v>
      </c>
      <c r="W6" s="305"/>
      <c r="X6" s="305" t="str">
        <f>IF(AND('Mapa final'!$L$11="Muy Alta",'Mapa final'!$P$11="Moderado"),CONCATENATE("R",'Mapa final'!$A$11),"")</f>
        <v/>
      </c>
      <c r="Y6" s="305"/>
      <c r="Z6" s="305" t="e">
        <f>IF(AND('Mapa final'!#REF!="Muy Alta",'Mapa final'!#REF!="Moderado"),CONCATENATE("R",'Mapa final'!#REF!),"")</f>
        <v>#REF!</v>
      </c>
      <c r="AA6" s="306"/>
      <c r="AB6" s="304" t="e">
        <f>IF(AND('Mapa final'!#REF!="Muy Alta",'Mapa final'!#REF!="Mayor"),CONCATENATE("R",'Mapa final'!#REF!),"")</f>
        <v>#REF!</v>
      </c>
      <c r="AC6" s="305"/>
      <c r="AD6" s="305" t="str">
        <f>IF(AND('Mapa final'!$L$11="Muy Alta",'Mapa final'!$P$11="Mayor"),CONCATENATE("R",'Mapa final'!$A$11),"")</f>
        <v/>
      </c>
      <c r="AE6" s="305"/>
      <c r="AF6" s="305" t="e">
        <f>IF(AND('Mapa final'!#REF!="Muy Alta",'Mapa final'!#REF!="Mayor"),CONCATENATE("R",'Mapa final'!#REF!),"")</f>
        <v>#REF!</v>
      </c>
      <c r="AG6" s="306"/>
      <c r="AH6" s="295" t="e">
        <f>IF(AND('Mapa final'!#REF!="Muy Alta",'Mapa final'!#REF!="Catastrófico"),CONCATENATE("R",'Mapa final'!#REF!),"")</f>
        <v>#REF!</v>
      </c>
      <c r="AI6" s="296"/>
      <c r="AJ6" s="296" t="str">
        <f>IF(AND('Mapa final'!$L$11="Muy Alta",'Mapa final'!$P$11="Catastrófico"),CONCATENATE("R",'Mapa final'!$A$11),"")</f>
        <v/>
      </c>
      <c r="AK6" s="296"/>
      <c r="AL6" s="296" t="e">
        <f>IF(AND('Mapa final'!#REF!="Muy Alta",'Mapa final'!#REF!="Catastrófico"),CONCATENATE("R",'Mapa final'!#REF!),"")</f>
        <v>#REF!</v>
      </c>
      <c r="AM6" s="297"/>
      <c r="AO6" s="320" t="s">
        <v>78</v>
      </c>
      <c r="AP6" s="321"/>
      <c r="AQ6" s="321"/>
      <c r="AR6" s="321"/>
      <c r="AS6" s="321"/>
      <c r="AT6" s="322"/>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318"/>
      <c r="C7" s="318"/>
      <c r="D7" s="319"/>
      <c r="E7" s="311"/>
      <c r="F7" s="312"/>
      <c r="G7" s="312"/>
      <c r="H7" s="312"/>
      <c r="I7" s="313"/>
      <c r="J7" s="298"/>
      <c r="K7" s="299"/>
      <c r="L7" s="299"/>
      <c r="M7" s="299"/>
      <c r="N7" s="299"/>
      <c r="O7" s="300"/>
      <c r="P7" s="298"/>
      <c r="Q7" s="299"/>
      <c r="R7" s="299"/>
      <c r="S7" s="299"/>
      <c r="T7" s="299"/>
      <c r="U7" s="300"/>
      <c r="V7" s="298"/>
      <c r="W7" s="299"/>
      <c r="X7" s="299"/>
      <c r="Y7" s="299"/>
      <c r="Z7" s="299"/>
      <c r="AA7" s="300"/>
      <c r="AB7" s="298"/>
      <c r="AC7" s="299"/>
      <c r="AD7" s="299"/>
      <c r="AE7" s="299"/>
      <c r="AF7" s="299"/>
      <c r="AG7" s="300"/>
      <c r="AH7" s="289"/>
      <c r="AI7" s="290"/>
      <c r="AJ7" s="290"/>
      <c r="AK7" s="290"/>
      <c r="AL7" s="290"/>
      <c r="AM7" s="291"/>
      <c r="AN7" s="75"/>
      <c r="AO7" s="323"/>
      <c r="AP7" s="324"/>
      <c r="AQ7" s="324"/>
      <c r="AR7" s="324"/>
      <c r="AS7" s="324"/>
      <c r="AT7" s="32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318"/>
      <c r="C8" s="318"/>
      <c r="D8" s="319"/>
      <c r="E8" s="311"/>
      <c r="F8" s="312"/>
      <c r="G8" s="312"/>
      <c r="H8" s="312"/>
      <c r="I8" s="313"/>
      <c r="J8" s="298" t="e">
        <f>IF(AND('Mapa final'!#REF!="Muy Alta",'Mapa final'!#REF!="Leve"),CONCATENATE("R",'Mapa final'!#REF!),"")</f>
        <v>#REF!</v>
      </c>
      <c r="K8" s="299"/>
      <c r="L8" s="299" t="e">
        <f>IF(AND('Mapa final'!#REF!="Muy Alta",'Mapa final'!#REF!="Leve"),CONCATENATE("R",'Mapa final'!#REF!),"")</f>
        <v>#REF!</v>
      </c>
      <c r="M8" s="299"/>
      <c r="N8" s="299" t="e">
        <f>IF(AND('Mapa final'!#REF!="Muy Alta",'Mapa final'!#REF!="Leve"),CONCATENATE("R",'Mapa final'!#REF!),"")</f>
        <v>#REF!</v>
      </c>
      <c r="O8" s="300"/>
      <c r="P8" s="298" t="e">
        <f>IF(AND('Mapa final'!#REF!="Muy Alta",'Mapa final'!#REF!="Menor"),CONCATENATE("R",'Mapa final'!#REF!),"")</f>
        <v>#REF!</v>
      </c>
      <c r="Q8" s="299"/>
      <c r="R8" s="299" t="e">
        <f>IF(AND('Mapa final'!#REF!="Muy Alta",'Mapa final'!#REF!="Menor"),CONCATENATE("R",'Mapa final'!#REF!),"")</f>
        <v>#REF!</v>
      </c>
      <c r="S8" s="299"/>
      <c r="T8" s="299" t="e">
        <f>IF(AND('Mapa final'!#REF!="Muy Alta",'Mapa final'!#REF!="Menor"),CONCATENATE("R",'Mapa final'!#REF!),"")</f>
        <v>#REF!</v>
      </c>
      <c r="U8" s="300"/>
      <c r="V8" s="298" t="e">
        <f>IF(AND('Mapa final'!#REF!="Muy Alta",'Mapa final'!#REF!="Moderado"),CONCATENATE("R",'Mapa final'!#REF!),"")</f>
        <v>#REF!</v>
      </c>
      <c r="W8" s="299"/>
      <c r="X8" s="299" t="e">
        <f>IF(AND('Mapa final'!#REF!="Muy Alta",'Mapa final'!#REF!="Moderado"),CONCATENATE("R",'Mapa final'!#REF!),"")</f>
        <v>#REF!</v>
      </c>
      <c r="Y8" s="299"/>
      <c r="Z8" s="299" t="e">
        <f>IF(AND('Mapa final'!#REF!="Muy Alta",'Mapa final'!#REF!="Moderado"),CONCATENATE("R",'Mapa final'!#REF!),"")</f>
        <v>#REF!</v>
      </c>
      <c r="AA8" s="300"/>
      <c r="AB8" s="298" t="e">
        <f>IF(AND('Mapa final'!#REF!="Muy Alta",'Mapa final'!#REF!="Mayor"),CONCATENATE("R",'Mapa final'!#REF!),"")</f>
        <v>#REF!</v>
      </c>
      <c r="AC8" s="299"/>
      <c r="AD8" s="299" t="e">
        <f>IF(AND('Mapa final'!#REF!="Muy Alta",'Mapa final'!#REF!="Mayor"),CONCATENATE("R",'Mapa final'!#REF!),"")</f>
        <v>#REF!</v>
      </c>
      <c r="AE8" s="299"/>
      <c r="AF8" s="299" t="e">
        <f>IF(AND('Mapa final'!#REF!="Muy Alta",'Mapa final'!#REF!="Mayor"),CONCATENATE("R",'Mapa final'!#REF!),"")</f>
        <v>#REF!</v>
      </c>
      <c r="AG8" s="300"/>
      <c r="AH8" s="289" t="e">
        <f>IF(AND('Mapa final'!#REF!="Muy Alta",'Mapa final'!#REF!="Catastrófico"),CONCATENATE("R",'Mapa final'!#REF!),"")</f>
        <v>#REF!</v>
      </c>
      <c r="AI8" s="290"/>
      <c r="AJ8" s="290" t="e">
        <f>IF(AND('Mapa final'!#REF!="Muy Alta",'Mapa final'!#REF!="Catastrófico"),CONCATENATE("R",'Mapa final'!#REF!),"")</f>
        <v>#REF!</v>
      </c>
      <c r="AK8" s="290"/>
      <c r="AL8" s="290" t="e">
        <f>IF(AND('Mapa final'!#REF!="Muy Alta",'Mapa final'!#REF!="Catastrófico"),CONCATENATE("R",'Mapa final'!#REF!),"")</f>
        <v>#REF!</v>
      </c>
      <c r="AM8" s="291"/>
      <c r="AN8" s="75"/>
      <c r="AO8" s="323"/>
      <c r="AP8" s="324"/>
      <c r="AQ8" s="324"/>
      <c r="AR8" s="324"/>
      <c r="AS8" s="324"/>
      <c r="AT8" s="32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318"/>
      <c r="C9" s="318"/>
      <c r="D9" s="319"/>
      <c r="E9" s="311"/>
      <c r="F9" s="312"/>
      <c r="G9" s="312"/>
      <c r="H9" s="312"/>
      <c r="I9" s="313"/>
      <c r="J9" s="298"/>
      <c r="K9" s="299"/>
      <c r="L9" s="299"/>
      <c r="M9" s="299"/>
      <c r="N9" s="299"/>
      <c r="O9" s="300"/>
      <c r="P9" s="298"/>
      <c r="Q9" s="299"/>
      <c r="R9" s="299"/>
      <c r="S9" s="299"/>
      <c r="T9" s="299"/>
      <c r="U9" s="300"/>
      <c r="V9" s="298"/>
      <c r="W9" s="299"/>
      <c r="X9" s="299"/>
      <c r="Y9" s="299"/>
      <c r="Z9" s="299"/>
      <c r="AA9" s="300"/>
      <c r="AB9" s="298"/>
      <c r="AC9" s="299"/>
      <c r="AD9" s="299"/>
      <c r="AE9" s="299"/>
      <c r="AF9" s="299"/>
      <c r="AG9" s="300"/>
      <c r="AH9" s="289"/>
      <c r="AI9" s="290"/>
      <c r="AJ9" s="290"/>
      <c r="AK9" s="290"/>
      <c r="AL9" s="290"/>
      <c r="AM9" s="291"/>
      <c r="AN9" s="75"/>
      <c r="AO9" s="323"/>
      <c r="AP9" s="324"/>
      <c r="AQ9" s="324"/>
      <c r="AR9" s="324"/>
      <c r="AS9" s="324"/>
      <c r="AT9" s="32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318"/>
      <c r="C10" s="318"/>
      <c r="D10" s="319"/>
      <c r="E10" s="311"/>
      <c r="F10" s="312"/>
      <c r="G10" s="312"/>
      <c r="H10" s="312"/>
      <c r="I10" s="313"/>
      <c r="J10" s="298" t="e">
        <f>IF(AND('Mapa final'!#REF!="Muy Alta",'Mapa final'!#REF!="Leve"),CONCATENATE("R",'Mapa final'!#REF!),"")</f>
        <v>#REF!</v>
      </c>
      <c r="K10" s="299"/>
      <c r="L10" s="299" t="e">
        <f>IF(AND('Mapa final'!#REF!="Muy Alta",'Mapa final'!#REF!="Leve"),CONCATENATE("R",'Mapa final'!#REF!),"")</f>
        <v>#REF!</v>
      </c>
      <c r="M10" s="299"/>
      <c r="N10" s="299" t="e">
        <f>IF(AND('Mapa final'!#REF!="Muy Alta",'Mapa final'!#REF!="Leve"),CONCATENATE("R",'Mapa final'!#REF!),"")</f>
        <v>#REF!</v>
      </c>
      <c r="O10" s="300"/>
      <c r="P10" s="298" t="e">
        <f>IF(AND('Mapa final'!#REF!="Muy Alta",'Mapa final'!#REF!="Menor"),CONCATENATE("R",'Mapa final'!#REF!),"")</f>
        <v>#REF!</v>
      </c>
      <c r="Q10" s="299"/>
      <c r="R10" s="299" t="e">
        <f>IF(AND('Mapa final'!#REF!="Muy Alta",'Mapa final'!#REF!="Menor"),CONCATENATE("R",'Mapa final'!#REF!),"")</f>
        <v>#REF!</v>
      </c>
      <c r="S10" s="299"/>
      <c r="T10" s="299" t="e">
        <f>IF(AND('Mapa final'!#REF!="Muy Alta",'Mapa final'!#REF!="Menor"),CONCATENATE("R",'Mapa final'!#REF!),"")</f>
        <v>#REF!</v>
      </c>
      <c r="U10" s="300"/>
      <c r="V10" s="298" t="e">
        <f>IF(AND('Mapa final'!#REF!="Muy Alta",'Mapa final'!#REF!="Moderado"),CONCATENATE("R",'Mapa final'!#REF!),"")</f>
        <v>#REF!</v>
      </c>
      <c r="W10" s="299"/>
      <c r="X10" s="299" t="e">
        <f>IF(AND('Mapa final'!#REF!="Muy Alta",'Mapa final'!#REF!="Moderado"),CONCATENATE("R",'Mapa final'!#REF!),"")</f>
        <v>#REF!</v>
      </c>
      <c r="Y10" s="299"/>
      <c r="Z10" s="299" t="e">
        <f>IF(AND('Mapa final'!#REF!="Muy Alta",'Mapa final'!#REF!="Moderado"),CONCATENATE("R",'Mapa final'!#REF!),"")</f>
        <v>#REF!</v>
      </c>
      <c r="AA10" s="300"/>
      <c r="AB10" s="298" t="e">
        <f>IF(AND('Mapa final'!#REF!="Muy Alta",'Mapa final'!#REF!="Mayor"),CONCATENATE("R",'Mapa final'!#REF!),"")</f>
        <v>#REF!</v>
      </c>
      <c r="AC10" s="299"/>
      <c r="AD10" s="299" t="e">
        <f>IF(AND('Mapa final'!#REF!="Muy Alta",'Mapa final'!#REF!="Mayor"),CONCATENATE("R",'Mapa final'!#REF!),"")</f>
        <v>#REF!</v>
      </c>
      <c r="AE10" s="299"/>
      <c r="AF10" s="299" t="e">
        <f>IF(AND('Mapa final'!#REF!="Muy Alta",'Mapa final'!#REF!="Mayor"),CONCATENATE("R",'Mapa final'!#REF!),"")</f>
        <v>#REF!</v>
      </c>
      <c r="AG10" s="300"/>
      <c r="AH10" s="289" t="e">
        <f>IF(AND('Mapa final'!#REF!="Muy Alta",'Mapa final'!#REF!="Catastrófico"),CONCATENATE("R",'Mapa final'!#REF!),"")</f>
        <v>#REF!</v>
      </c>
      <c r="AI10" s="290"/>
      <c r="AJ10" s="290" t="e">
        <f>IF(AND('Mapa final'!#REF!="Muy Alta",'Mapa final'!#REF!="Catastrófico"),CONCATENATE("R",'Mapa final'!#REF!),"")</f>
        <v>#REF!</v>
      </c>
      <c r="AK10" s="290"/>
      <c r="AL10" s="290" t="e">
        <f>IF(AND('Mapa final'!#REF!="Muy Alta",'Mapa final'!#REF!="Catastrófico"),CONCATENATE("R",'Mapa final'!#REF!),"")</f>
        <v>#REF!</v>
      </c>
      <c r="AM10" s="291"/>
      <c r="AN10" s="75"/>
      <c r="AO10" s="323"/>
      <c r="AP10" s="324"/>
      <c r="AQ10" s="324"/>
      <c r="AR10" s="324"/>
      <c r="AS10" s="324"/>
      <c r="AT10" s="32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318"/>
      <c r="C11" s="318"/>
      <c r="D11" s="319"/>
      <c r="E11" s="311"/>
      <c r="F11" s="312"/>
      <c r="G11" s="312"/>
      <c r="H11" s="312"/>
      <c r="I11" s="313"/>
      <c r="J11" s="298"/>
      <c r="K11" s="299"/>
      <c r="L11" s="299"/>
      <c r="M11" s="299"/>
      <c r="N11" s="299"/>
      <c r="O11" s="300"/>
      <c r="P11" s="298"/>
      <c r="Q11" s="299"/>
      <c r="R11" s="299"/>
      <c r="S11" s="299"/>
      <c r="T11" s="299"/>
      <c r="U11" s="300"/>
      <c r="V11" s="298"/>
      <c r="W11" s="299"/>
      <c r="X11" s="299"/>
      <c r="Y11" s="299"/>
      <c r="Z11" s="299"/>
      <c r="AA11" s="300"/>
      <c r="AB11" s="298"/>
      <c r="AC11" s="299"/>
      <c r="AD11" s="299"/>
      <c r="AE11" s="299"/>
      <c r="AF11" s="299"/>
      <c r="AG11" s="300"/>
      <c r="AH11" s="289"/>
      <c r="AI11" s="290"/>
      <c r="AJ11" s="290"/>
      <c r="AK11" s="290"/>
      <c r="AL11" s="290"/>
      <c r="AM11" s="291"/>
      <c r="AN11" s="75"/>
      <c r="AO11" s="323"/>
      <c r="AP11" s="324"/>
      <c r="AQ11" s="324"/>
      <c r="AR11" s="324"/>
      <c r="AS11" s="324"/>
      <c r="AT11" s="32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318"/>
      <c r="C12" s="318"/>
      <c r="D12" s="319"/>
      <c r="E12" s="311"/>
      <c r="F12" s="312"/>
      <c r="G12" s="312"/>
      <c r="H12" s="312"/>
      <c r="I12" s="313"/>
      <c r="J12" s="298" t="e">
        <f>IF(AND('Mapa final'!#REF!="Muy Alta",'Mapa final'!#REF!="Leve"),CONCATENATE("R",'Mapa final'!#REF!),"")</f>
        <v>#REF!</v>
      </c>
      <c r="K12" s="299"/>
      <c r="L12" s="299" t="str">
        <f>IF(AND('Mapa final'!$L$21="Muy Alta",'Mapa final'!$P$21="Leve"),CONCATENATE("R",'Mapa final'!$A$21),"")</f>
        <v/>
      </c>
      <c r="M12" s="299"/>
      <c r="N12" s="299" t="str">
        <f>IF(AND('Mapa final'!$L$23="Muy Alta",'Mapa final'!$P$23="Leve"),CONCATENATE("R",'Mapa final'!$A$23),"")</f>
        <v/>
      </c>
      <c r="O12" s="300"/>
      <c r="P12" s="298" t="e">
        <f>IF(AND('Mapa final'!#REF!="Muy Alta",'Mapa final'!#REF!="Menor"),CONCATENATE("R",'Mapa final'!#REF!),"")</f>
        <v>#REF!</v>
      </c>
      <c r="Q12" s="299"/>
      <c r="R12" s="299" t="str">
        <f>IF(AND('Mapa final'!$L$21="Muy Alta",'Mapa final'!$P$21="Menor"),CONCATENATE("R",'Mapa final'!$A$21),"")</f>
        <v/>
      </c>
      <c r="S12" s="299"/>
      <c r="T12" s="299" t="str">
        <f>IF(AND('Mapa final'!$L$23="Muy Alta",'Mapa final'!$P$23="Menor"),CONCATENATE("R",'Mapa final'!$A$23),"")</f>
        <v/>
      </c>
      <c r="U12" s="300"/>
      <c r="V12" s="298" t="e">
        <f>IF(AND('Mapa final'!#REF!="Muy Alta",'Mapa final'!#REF!="Moderado"),CONCATENATE("R",'Mapa final'!#REF!),"")</f>
        <v>#REF!</v>
      </c>
      <c r="W12" s="299"/>
      <c r="X12" s="299" t="str">
        <f>IF(AND('Mapa final'!$L$21="Muy Alta",'Mapa final'!$P$21="Moderado"),CONCATENATE("R",'Mapa final'!$A$21),"")</f>
        <v/>
      </c>
      <c r="Y12" s="299"/>
      <c r="Z12" s="299" t="str">
        <f>IF(AND('Mapa final'!$L$23="Muy Alta",'Mapa final'!$P$23="Moderado"),CONCATENATE("R",'Mapa final'!$A$23),"")</f>
        <v/>
      </c>
      <c r="AA12" s="300"/>
      <c r="AB12" s="298" t="e">
        <f>IF(AND('Mapa final'!#REF!="Muy Alta",'Mapa final'!#REF!="Mayor"),CONCATENATE("R",'Mapa final'!#REF!),"")</f>
        <v>#REF!</v>
      </c>
      <c r="AC12" s="299"/>
      <c r="AD12" s="299" t="str">
        <f>IF(AND('Mapa final'!$L$21="Muy Alta",'Mapa final'!$P$21="Mayor"),CONCATENATE("R",'Mapa final'!$A$21),"")</f>
        <v/>
      </c>
      <c r="AE12" s="299"/>
      <c r="AF12" s="299" t="str">
        <f>IF(AND('Mapa final'!$L$23="Muy Alta",'Mapa final'!$P$23="Mayor"),CONCATENATE("R",'Mapa final'!$A$23),"")</f>
        <v/>
      </c>
      <c r="AG12" s="300"/>
      <c r="AH12" s="289" t="e">
        <f>IF(AND('Mapa final'!#REF!="Muy Alta",'Mapa final'!#REF!="Catastrófico"),CONCATENATE("R",'Mapa final'!#REF!),"")</f>
        <v>#REF!</v>
      </c>
      <c r="AI12" s="290"/>
      <c r="AJ12" s="290" t="str">
        <f>IF(AND('Mapa final'!$L$21="Muy Alta",'Mapa final'!$P$21="Catastrófico"),CONCATENATE("R",'Mapa final'!$A$21),"")</f>
        <v/>
      </c>
      <c r="AK12" s="290"/>
      <c r="AL12" s="290" t="str">
        <f>IF(AND('Mapa final'!$L$23="Muy Alta",'Mapa final'!$P$23="Catastrófico"),CONCATENATE("R",'Mapa final'!$A$23),"")</f>
        <v/>
      </c>
      <c r="AM12" s="291"/>
      <c r="AN12" s="75"/>
      <c r="AO12" s="323"/>
      <c r="AP12" s="324"/>
      <c r="AQ12" s="324"/>
      <c r="AR12" s="324"/>
      <c r="AS12" s="324"/>
      <c r="AT12" s="32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318"/>
      <c r="C13" s="318"/>
      <c r="D13" s="319"/>
      <c r="E13" s="314"/>
      <c r="F13" s="315"/>
      <c r="G13" s="315"/>
      <c r="H13" s="315"/>
      <c r="I13" s="316"/>
      <c r="J13" s="298"/>
      <c r="K13" s="299"/>
      <c r="L13" s="299"/>
      <c r="M13" s="299"/>
      <c r="N13" s="299"/>
      <c r="O13" s="300"/>
      <c r="P13" s="298"/>
      <c r="Q13" s="299"/>
      <c r="R13" s="299"/>
      <c r="S13" s="299"/>
      <c r="T13" s="299"/>
      <c r="U13" s="300"/>
      <c r="V13" s="298"/>
      <c r="W13" s="299"/>
      <c r="X13" s="299"/>
      <c r="Y13" s="299"/>
      <c r="Z13" s="299"/>
      <c r="AA13" s="300"/>
      <c r="AB13" s="298"/>
      <c r="AC13" s="299"/>
      <c r="AD13" s="299"/>
      <c r="AE13" s="299"/>
      <c r="AF13" s="299"/>
      <c r="AG13" s="300"/>
      <c r="AH13" s="292"/>
      <c r="AI13" s="293"/>
      <c r="AJ13" s="293"/>
      <c r="AK13" s="293"/>
      <c r="AL13" s="293"/>
      <c r="AM13" s="294"/>
      <c r="AN13" s="75"/>
      <c r="AO13" s="326"/>
      <c r="AP13" s="327"/>
      <c r="AQ13" s="327"/>
      <c r="AR13" s="327"/>
      <c r="AS13" s="327"/>
      <c r="AT13" s="328"/>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318"/>
      <c r="C14" s="318"/>
      <c r="D14" s="319"/>
      <c r="E14" s="308" t="s">
        <v>114</v>
      </c>
      <c r="F14" s="309"/>
      <c r="G14" s="309"/>
      <c r="H14" s="309"/>
      <c r="I14" s="309"/>
      <c r="J14" s="286" t="e">
        <f>IF(AND('Mapa final'!#REF!="Alta",'Mapa final'!#REF!="Leve"),CONCATENATE("R",'Mapa final'!#REF!),"")</f>
        <v>#REF!</v>
      </c>
      <c r="K14" s="287"/>
      <c r="L14" s="287" t="str">
        <f>IF(AND('Mapa final'!$L$11="Alta",'Mapa final'!$P$11="Leve"),CONCATENATE("R",'Mapa final'!$A$11),"")</f>
        <v/>
      </c>
      <c r="M14" s="287"/>
      <c r="N14" s="287" t="e">
        <f>IF(AND('Mapa final'!#REF!="Alta",'Mapa final'!#REF!="Leve"),CONCATENATE("R",'Mapa final'!#REF!),"")</f>
        <v>#REF!</v>
      </c>
      <c r="O14" s="288"/>
      <c r="P14" s="286" t="e">
        <f>IF(AND('Mapa final'!#REF!="Alta",'Mapa final'!#REF!="Menor"),CONCATENATE("R",'Mapa final'!#REF!),"")</f>
        <v>#REF!</v>
      </c>
      <c r="Q14" s="287"/>
      <c r="R14" s="287" t="str">
        <f>IF(AND('Mapa final'!$L$11="Alta",'Mapa final'!$P$11="Menor"),CONCATENATE("R",'Mapa final'!$A$11),"")</f>
        <v/>
      </c>
      <c r="S14" s="287"/>
      <c r="T14" s="287" t="e">
        <f>IF(AND('Mapa final'!#REF!="Alta",'Mapa final'!#REF!="Menor"),CONCATENATE("R",'Mapa final'!#REF!),"")</f>
        <v>#REF!</v>
      </c>
      <c r="U14" s="288"/>
      <c r="V14" s="304" t="e">
        <f>IF(AND('Mapa final'!#REF!="Alta",'Mapa final'!#REF!="Moderado"),CONCATENATE("R",'Mapa final'!#REF!),"")</f>
        <v>#REF!</v>
      </c>
      <c r="W14" s="305"/>
      <c r="X14" s="305" t="str">
        <f>IF(AND('Mapa final'!$L$11="Alta",'Mapa final'!$P$11="Moderado"),CONCATENATE("R",'Mapa final'!$A$11),"")</f>
        <v/>
      </c>
      <c r="Y14" s="305"/>
      <c r="Z14" s="305" t="e">
        <f>IF(AND('Mapa final'!#REF!="Alta",'Mapa final'!#REF!="Moderado"),CONCATENATE("R",'Mapa final'!#REF!),"")</f>
        <v>#REF!</v>
      </c>
      <c r="AA14" s="306"/>
      <c r="AB14" s="304" t="e">
        <f>IF(AND('Mapa final'!#REF!="Alta",'Mapa final'!#REF!="Mayor"),CONCATENATE("R",'Mapa final'!#REF!),"")</f>
        <v>#REF!</v>
      </c>
      <c r="AC14" s="305"/>
      <c r="AD14" s="305" t="str">
        <f>IF(AND('Mapa final'!$L$11="Alta",'Mapa final'!$P$11="Mayor"),CONCATENATE("R",'Mapa final'!$A$11),"")</f>
        <v/>
      </c>
      <c r="AE14" s="305"/>
      <c r="AF14" s="305" t="e">
        <f>IF(AND('Mapa final'!#REF!="Alta",'Mapa final'!#REF!="Mayor"),CONCATENATE("R",'Mapa final'!#REF!),"")</f>
        <v>#REF!</v>
      </c>
      <c r="AG14" s="306"/>
      <c r="AH14" s="295" t="e">
        <f>IF(AND('Mapa final'!#REF!="Alta",'Mapa final'!#REF!="Catastrófico"),CONCATENATE("R",'Mapa final'!#REF!),"")</f>
        <v>#REF!</v>
      </c>
      <c r="AI14" s="296"/>
      <c r="AJ14" s="296" t="str">
        <f>IF(AND('Mapa final'!$L$11="Alta",'Mapa final'!$P$11="Catastrófico"),CONCATENATE("R",'Mapa final'!$A$11),"")</f>
        <v/>
      </c>
      <c r="AK14" s="296"/>
      <c r="AL14" s="296" t="e">
        <f>IF(AND('Mapa final'!#REF!="Alta",'Mapa final'!#REF!="Catastrófico"),CONCATENATE("R",'Mapa final'!#REF!),"")</f>
        <v>#REF!</v>
      </c>
      <c r="AM14" s="297"/>
      <c r="AN14" s="75"/>
      <c r="AO14" s="329" t="s">
        <v>79</v>
      </c>
      <c r="AP14" s="330"/>
      <c r="AQ14" s="330"/>
      <c r="AR14" s="330"/>
      <c r="AS14" s="330"/>
      <c r="AT14" s="331"/>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318"/>
      <c r="C15" s="318"/>
      <c r="D15" s="319"/>
      <c r="E15" s="311"/>
      <c r="F15" s="312"/>
      <c r="G15" s="312"/>
      <c r="H15" s="312"/>
      <c r="I15" s="312"/>
      <c r="J15" s="280"/>
      <c r="K15" s="281"/>
      <c r="L15" s="281"/>
      <c r="M15" s="281"/>
      <c r="N15" s="281"/>
      <c r="O15" s="282"/>
      <c r="P15" s="280"/>
      <c r="Q15" s="281"/>
      <c r="R15" s="281"/>
      <c r="S15" s="281"/>
      <c r="T15" s="281"/>
      <c r="U15" s="282"/>
      <c r="V15" s="298"/>
      <c r="W15" s="299"/>
      <c r="X15" s="299"/>
      <c r="Y15" s="299"/>
      <c r="Z15" s="299"/>
      <c r="AA15" s="300"/>
      <c r="AB15" s="298"/>
      <c r="AC15" s="299"/>
      <c r="AD15" s="299"/>
      <c r="AE15" s="299"/>
      <c r="AF15" s="299"/>
      <c r="AG15" s="300"/>
      <c r="AH15" s="289"/>
      <c r="AI15" s="290"/>
      <c r="AJ15" s="290"/>
      <c r="AK15" s="290"/>
      <c r="AL15" s="290"/>
      <c r="AM15" s="291"/>
      <c r="AN15" s="75"/>
      <c r="AO15" s="332"/>
      <c r="AP15" s="333"/>
      <c r="AQ15" s="333"/>
      <c r="AR15" s="333"/>
      <c r="AS15" s="333"/>
      <c r="AT15" s="334"/>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318"/>
      <c r="C16" s="318"/>
      <c r="D16" s="319"/>
      <c r="E16" s="311"/>
      <c r="F16" s="312"/>
      <c r="G16" s="312"/>
      <c r="H16" s="312"/>
      <c r="I16" s="312"/>
      <c r="J16" s="280" t="e">
        <f>IF(AND('Mapa final'!#REF!="Alta",'Mapa final'!#REF!="Leve"),CONCATENATE("R",'Mapa final'!#REF!),"")</f>
        <v>#REF!</v>
      </c>
      <c r="K16" s="281"/>
      <c r="L16" s="281" t="e">
        <f>IF(AND('Mapa final'!#REF!="Alta",'Mapa final'!#REF!="Leve"),CONCATENATE("R",'Mapa final'!#REF!),"")</f>
        <v>#REF!</v>
      </c>
      <c r="M16" s="281"/>
      <c r="N16" s="281" t="e">
        <f>IF(AND('Mapa final'!#REF!="Alta",'Mapa final'!#REF!="Leve"),CONCATENATE("R",'Mapa final'!#REF!),"")</f>
        <v>#REF!</v>
      </c>
      <c r="O16" s="282"/>
      <c r="P16" s="280" t="e">
        <f>IF(AND('Mapa final'!#REF!="Alta",'Mapa final'!#REF!="Menor"),CONCATENATE("R",'Mapa final'!#REF!),"")</f>
        <v>#REF!</v>
      </c>
      <c r="Q16" s="281"/>
      <c r="R16" s="281" t="e">
        <f>IF(AND('Mapa final'!#REF!="Alta",'Mapa final'!#REF!="Menor"),CONCATENATE("R",'Mapa final'!#REF!),"")</f>
        <v>#REF!</v>
      </c>
      <c r="S16" s="281"/>
      <c r="T16" s="281" t="e">
        <f>IF(AND('Mapa final'!#REF!="Alta",'Mapa final'!#REF!="Menor"),CONCATENATE("R",'Mapa final'!#REF!),"")</f>
        <v>#REF!</v>
      </c>
      <c r="U16" s="282"/>
      <c r="V16" s="298" t="e">
        <f>IF(AND('Mapa final'!#REF!="Alta",'Mapa final'!#REF!="Moderado"),CONCATENATE("R",'Mapa final'!#REF!),"")</f>
        <v>#REF!</v>
      </c>
      <c r="W16" s="299"/>
      <c r="X16" s="299" t="e">
        <f>IF(AND('Mapa final'!#REF!="Alta",'Mapa final'!#REF!="Moderado"),CONCATENATE("R",'Mapa final'!#REF!),"")</f>
        <v>#REF!</v>
      </c>
      <c r="Y16" s="299"/>
      <c r="Z16" s="299" t="e">
        <f>IF(AND('Mapa final'!#REF!="Alta",'Mapa final'!#REF!="Moderado"),CONCATENATE("R",'Mapa final'!#REF!),"")</f>
        <v>#REF!</v>
      </c>
      <c r="AA16" s="300"/>
      <c r="AB16" s="298" t="e">
        <f>IF(AND('Mapa final'!#REF!="Alta",'Mapa final'!#REF!="Mayor"),CONCATENATE("R",'Mapa final'!#REF!),"")</f>
        <v>#REF!</v>
      </c>
      <c r="AC16" s="299"/>
      <c r="AD16" s="299" t="e">
        <f>IF(AND('Mapa final'!#REF!="Alta",'Mapa final'!#REF!="Mayor"),CONCATENATE("R",'Mapa final'!#REF!),"")</f>
        <v>#REF!</v>
      </c>
      <c r="AE16" s="299"/>
      <c r="AF16" s="299" t="e">
        <f>IF(AND('Mapa final'!#REF!="Alta",'Mapa final'!#REF!="Mayor"),CONCATENATE("R",'Mapa final'!#REF!),"")</f>
        <v>#REF!</v>
      </c>
      <c r="AG16" s="300"/>
      <c r="AH16" s="289" t="e">
        <f>IF(AND('Mapa final'!#REF!="Alta",'Mapa final'!#REF!="Catastrófico"),CONCATENATE("R",'Mapa final'!#REF!),"")</f>
        <v>#REF!</v>
      </c>
      <c r="AI16" s="290"/>
      <c r="AJ16" s="290" t="e">
        <f>IF(AND('Mapa final'!#REF!="Alta",'Mapa final'!#REF!="Catastrófico"),CONCATENATE("R",'Mapa final'!#REF!),"")</f>
        <v>#REF!</v>
      </c>
      <c r="AK16" s="290"/>
      <c r="AL16" s="290" t="e">
        <f>IF(AND('Mapa final'!#REF!="Alta",'Mapa final'!#REF!="Catastrófico"),CONCATENATE("R",'Mapa final'!#REF!),"")</f>
        <v>#REF!</v>
      </c>
      <c r="AM16" s="291"/>
      <c r="AN16" s="75"/>
      <c r="AO16" s="332"/>
      <c r="AP16" s="333"/>
      <c r="AQ16" s="333"/>
      <c r="AR16" s="333"/>
      <c r="AS16" s="333"/>
      <c r="AT16" s="334"/>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318"/>
      <c r="C17" s="318"/>
      <c r="D17" s="319"/>
      <c r="E17" s="311"/>
      <c r="F17" s="312"/>
      <c r="G17" s="312"/>
      <c r="H17" s="312"/>
      <c r="I17" s="312"/>
      <c r="J17" s="280"/>
      <c r="K17" s="281"/>
      <c r="L17" s="281"/>
      <c r="M17" s="281"/>
      <c r="N17" s="281"/>
      <c r="O17" s="282"/>
      <c r="P17" s="280"/>
      <c r="Q17" s="281"/>
      <c r="R17" s="281"/>
      <c r="S17" s="281"/>
      <c r="T17" s="281"/>
      <c r="U17" s="282"/>
      <c r="V17" s="298"/>
      <c r="W17" s="299"/>
      <c r="X17" s="299"/>
      <c r="Y17" s="299"/>
      <c r="Z17" s="299"/>
      <c r="AA17" s="300"/>
      <c r="AB17" s="298"/>
      <c r="AC17" s="299"/>
      <c r="AD17" s="299"/>
      <c r="AE17" s="299"/>
      <c r="AF17" s="299"/>
      <c r="AG17" s="300"/>
      <c r="AH17" s="289"/>
      <c r="AI17" s="290"/>
      <c r="AJ17" s="290"/>
      <c r="AK17" s="290"/>
      <c r="AL17" s="290"/>
      <c r="AM17" s="291"/>
      <c r="AN17" s="75"/>
      <c r="AO17" s="332"/>
      <c r="AP17" s="333"/>
      <c r="AQ17" s="333"/>
      <c r="AR17" s="333"/>
      <c r="AS17" s="333"/>
      <c r="AT17" s="334"/>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318"/>
      <c r="C18" s="318"/>
      <c r="D18" s="319"/>
      <c r="E18" s="311"/>
      <c r="F18" s="312"/>
      <c r="G18" s="312"/>
      <c r="H18" s="312"/>
      <c r="I18" s="312"/>
      <c r="J18" s="280" t="e">
        <f>IF(AND('Mapa final'!#REF!="Alta",'Mapa final'!#REF!="Leve"),CONCATENATE("R",'Mapa final'!#REF!),"")</f>
        <v>#REF!</v>
      </c>
      <c r="K18" s="281"/>
      <c r="L18" s="281" t="e">
        <f>IF(AND('Mapa final'!#REF!="Alta",'Mapa final'!#REF!="Leve"),CONCATENATE("R",'Mapa final'!#REF!),"")</f>
        <v>#REF!</v>
      </c>
      <c r="M18" s="281"/>
      <c r="N18" s="281" t="e">
        <f>IF(AND('Mapa final'!#REF!="Alta",'Mapa final'!#REF!="Leve"),CONCATENATE("R",'Mapa final'!#REF!),"")</f>
        <v>#REF!</v>
      </c>
      <c r="O18" s="282"/>
      <c r="P18" s="280" t="e">
        <f>IF(AND('Mapa final'!#REF!="Alta",'Mapa final'!#REF!="Menor"),CONCATENATE("R",'Mapa final'!#REF!),"")</f>
        <v>#REF!</v>
      </c>
      <c r="Q18" s="281"/>
      <c r="R18" s="281" t="e">
        <f>IF(AND('Mapa final'!#REF!="Alta",'Mapa final'!#REF!="Menor"),CONCATENATE("R",'Mapa final'!#REF!),"")</f>
        <v>#REF!</v>
      </c>
      <c r="S18" s="281"/>
      <c r="T18" s="281" t="e">
        <f>IF(AND('Mapa final'!#REF!="Alta",'Mapa final'!#REF!="Menor"),CONCATENATE("R",'Mapa final'!#REF!),"")</f>
        <v>#REF!</v>
      </c>
      <c r="U18" s="282"/>
      <c r="V18" s="298" t="e">
        <f>IF(AND('Mapa final'!#REF!="Alta",'Mapa final'!#REF!="Moderado"),CONCATENATE("R",'Mapa final'!#REF!),"")</f>
        <v>#REF!</v>
      </c>
      <c r="W18" s="299"/>
      <c r="X18" s="299" t="e">
        <f>IF(AND('Mapa final'!#REF!="Alta",'Mapa final'!#REF!="Moderado"),CONCATENATE("R",'Mapa final'!#REF!),"")</f>
        <v>#REF!</v>
      </c>
      <c r="Y18" s="299"/>
      <c r="Z18" s="299" t="e">
        <f>IF(AND('Mapa final'!#REF!="Alta",'Mapa final'!#REF!="Moderado"),CONCATENATE("R",'Mapa final'!#REF!),"")</f>
        <v>#REF!</v>
      </c>
      <c r="AA18" s="300"/>
      <c r="AB18" s="298" t="e">
        <f>IF(AND('Mapa final'!#REF!="Alta",'Mapa final'!#REF!="Mayor"),CONCATENATE("R",'Mapa final'!#REF!),"")</f>
        <v>#REF!</v>
      </c>
      <c r="AC18" s="299"/>
      <c r="AD18" s="299" t="e">
        <f>IF(AND('Mapa final'!#REF!="Alta",'Mapa final'!#REF!="Mayor"),CONCATENATE("R",'Mapa final'!#REF!),"")</f>
        <v>#REF!</v>
      </c>
      <c r="AE18" s="299"/>
      <c r="AF18" s="299" t="e">
        <f>IF(AND('Mapa final'!#REF!="Alta",'Mapa final'!#REF!="Mayor"),CONCATENATE("R",'Mapa final'!#REF!),"")</f>
        <v>#REF!</v>
      </c>
      <c r="AG18" s="300"/>
      <c r="AH18" s="289" t="e">
        <f>IF(AND('Mapa final'!#REF!="Alta",'Mapa final'!#REF!="Catastrófico"),CONCATENATE("R",'Mapa final'!#REF!),"")</f>
        <v>#REF!</v>
      </c>
      <c r="AI18" s="290"/>
      <c r="AJ18" s="290" t="e">
        <f>IF(AND('Mapa final'!#REF!="Alta",'Mapa final'!#REF!="Catastrófico"),CONCATENATE("R",'Mapa final'!#REF!),"")</f>
        <v>#REF!</v>
      </c>
      <c r="AK18" s="290"/>
      <c r="AL18" s="290" t="e">
        <f>IF(AND('Mapa final'!#REF!="Alta",'Mapa final'!#REF!="Catastrófico"),CONCATENATE("R",'Mapa final'!#REF!),"")</f>
        <v>#REF!</v>
      </c>
      <c r="AM18" s="291"/>
      <c r="AN18" s="75"/>
      <c r="AO18" s="332"/>
      <c r="AP18" s="333"/>
      <c r="AQ18" s="333"/>
      <c r="AR18" s="333"/>
      <c r="AS18" s="333"/>
      <c r="AT18" s="334"/>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318"/>
      <c r="C19" s="318"/>
      <c r="D19" s="319"/>
      <c r="E19" s="311"/>
      <c r="F19" s="312"/>
      <c r="G19" s="312"/>
      <c r="H19" s="312"/>
      <c r="I19" s="312"/>
      <c r="J19" s="280"/>
      <c r="K19" s="281"/>
      <c r="L19" s="281"/>
      <c r="M19" s="281"/>
      <c r="N19" s="281"/>
      <c r="O19" s="282"/>
      <c r="P19" s="280"/>
      <c r="Q19" s="281"/>
      <c r="R19" s="281"/>
      <c r="S19" s="281"/>
      <c r="T19" s="281"/>
      <c r="U19" s="282"/>
      <c r="V19" s="298"/>
      <c r="W19" s="299"/>
      <c r="X19" s="299"/>
      <c r="Y19" s="299"/>
      <c r="Z19" s="299"/>
      <c r="AA19" s="300"/>
      <c r="AB19" s="298"/>
      <c r="AC19" s="299"/>
      <c r="AD19" s="299"/>
      <c r="AE19" s="299"/>
      <c r="AF19" s="299"/>
      <c r="AG19" s="300"/>
      <c r="AH19" s="289"/>
      <c r="AI19" s="290"/>
      <c r="AJ19" s="290"/>
      <c r="AK19" s="290"/>
      <c r="AL19" s="290"/>
      <c r="AM19" s="291"/>
      <c r="AN19" s="75"/>
      <c r="AO19" s="332"/>
      <c r="AP19" s="333"/>
      <c r="AQ19" s="333"/>
      <c r="AR19" s="333"/>
      <c r="AS19" s="333"/>
      <c r="AT19" s="334"/>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318"/>
      <c r="C20" s="318"/>
      <c r="D20" s="319"/>
      <c r="E20" s="311"/>
      <c r="F20" s="312"/>
      <c r="G20" s="312"/>
      <c r="H20" s="312"/>
      <c r="I20" s="312"/>
      <c r="J20" s="280" t="e">
        <f>IF(AND('Mapa final'!#REF!="Alta",'Mapa final'!#REF!="Leve"),CONCATENATE("R",'Mapa final'!#REF!),"")</f>
        <v>#REF!</v>
      </c>
      <c r="K20" s="281"/>
      <c r="L20" s="281" t="str">
        <f>IF(AND('Mapa final'!$L$21="Alta",'Mapa final'!$P$21="Leve"),CONCATENATE("R",'Mapa final'!$A$21),"")</f>
        <v/>
      </c>
      <c r="M20" s="281"/>
      <c r="N20" s="281" t="str">
        <f>IF(AND('Mapa final'!$L$23="Alta",'Mapa final'!$P$23="Leve"),CONCATENATE("R",'Mapa final'!$A$23),"")</f>
        <v/>
      </c>
      <c r="O20" s="282"/>
      <c r="P20" s="280" t="e">
        <f>IF(AND('Mapa final'!#REF!="Alta",'Mapa final'!#REF!="Menor"),CONCATENATE("R",'Mapa final'!#REF!),"")</f>
        <v>#REF!</v>
      </c>
      <c r="Q20" s="281"/>
      <c r="R20" s="281" t="str">
        <f>IF(AND('Mapa final'!$L$21="Alta",'Mapa final'!$P$21="Menor"),CONCATENATE("R",'Mapa final'!$A$21),"")</f>
        <v/>
      </c>
      <c r="S20" s="281"/>
      <c r="T20" s="281" t="str">
        <f>IF(AND('Mapa final'!$L$23="Alta",'Mapa final'!$P$23="Menor"),CONCATENATE("R",'Mapa final'!$A$23),"")</f>
        <v/>
      </c>
      <c r="U20" s="282"/>
      <c r="V20" s="298" t="e">
        <f>IF(AND('Mapa final'!#REF!="Alta",'Mapa final'!#REF!="Moderado"),CONCATENATE("R",'Mapa final'!#REF!),"")</f>
        <v>#REF!</v>
      </c>
      <c r="W20" s="299"/>
      <c r="X20" s="299" t="str">
        <f>IF(AND('Mapa final'!$L$21="Alta",'Mapa final'!$P$21="Moderado"),CONCATENATE("R",'Mapa final'!$A$21),"")</f>
        <v/>
      </c>
      <c r="Y20" s="299"/>
      <c r="Z20" s="299" t="str">
        <f>IF(AND('Mapa final'!$L$23="Alta",'Mapa final'!$P$23="Moderado"),CONCATENATE("R",'Mapa final'!$A$23),"")</f>
        <v/>
      </c>
      <c r="AA20" s="300"/>
      <c r="AB20" s="298" t="e">
        <f>IF(AND('Mapa final'!#REF!="Alta",'Mapa final'!#REF!="Mayor"),CONCATENATE("R",'Mapa final'!#REF!),"")</f>
        <v>#REF!</v>
      </c>
      <c r="AC20" s="299"/>
      <c r="AD20" s="299" t="str">
        <f>IF(AND('Mapa final'!$L$21="Alta",'Mapa final'!$P$21="Mayor"),CONCATENATE("R",'Mapa final'!$A$21),"")</f>
        <v/>
      </c>
      <c r="AE20" s="299"/>
      <c r="AF20" s="299" t="str">
        <f>IF(AND('Mapa final'!$L$23="Alta",'Mapa final'!$P$23="Mayor"),CONCATENATE("R",'Mapa final'!$A$23),"")</f>
        <v/>
      </c>
      <c r="AG20" s="300"/>
      <c r="AH20" s="289" t="e">
        <f>IF(AND('Mapa final'!#REF!="Alta",'Mapa final'!#REF!="Catastrófico"),CONCATENATE("R",'Mapa final'!#REF!),"")</f>
        <v>#REF!</v>
      </c>
      <c r="AI20" s="290"/>
      <c r="AJ20" s="290" t="str">
        <f>IF(AND('Mapa final'!$L$21="Alta",'Mapa final'!$P$21="Catastrófico"),CONCATENATE("R",'Mapa final'!$A$21),"")</f>
        <v/>
      </c>
      <c r="AK20" s="290"/>
      <c r="AL20" s="290" t="str">
        <f>IF(AND('Mapa final'!$L$23="Alta",'Mapa final'!$P$23="Catastrófico"),CONCATENATE("R",'Mapa final'!$A$23),"")</f>
        <v/>
      </c>
      <c r="AM20" s="291"/>
      <c r="AN20" s="75"/>
      <c r="AO20" s="332"/>
      <c r="AP20" s="333"/>
      <c r="AQ20" s="333"/>
      <c r="AR20" s="333"/>
      <c r="AS20" s="333"/>
      <c r="AT20" s="334"/>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318"/>
      <c r="C21" s="318"/>
      <c r="D21" s="319"/>
      <c r="E21" s="314"/>
      <c r="F21" s="315"/>
      <c r="G21" s="315"/>
      <c r="H21" s="315"/>
      <c r="I21" s="315"/>
      <c r="J21" s="283"/>
      <c r="K21" s="284"/>
      <c r="L21" s="284"/>
      <c r="M21" s="284"/>
      <c r="N21" s="284"/>
      <c r="O21" s="285"/>
      <c r="P21" s="283"/>
      <c r="Q21" s="284"/>
      <c r="R21" s="284"/>
      <c r="S21" s="284"/>
      <c r="T21" s="284"/>
      <c r="U21" s="285"/>
      <c r="V21" s="301"/>
      <c r="W21" s="302"/>
      <c r="X21" s="302"/>
      <c r="Y21" s="302"/>
      <c r="Z21" s="302"/>
      <c r="AA21" s="303"/>
      <c r="AB21" s="301"/>
      <c r="AC21" s="302"/>
      <c r="AD21" s="302"/>
      <c r="AE21" s="302"/>
      <c r="AF21" s="302"/>
      <c r="AG21" s="303"/>
      <c r="AH21" s="292"/>
      <c r="AI21" s="293"/>
      <c r="AJ21" s="293"/>
      <c r="AK21" s="293"/>
      <c r="AL21" s="293"/>
      <c r="AM21" s="294"/>
      <c r="AN21" s="75"/>
      <c r="AO21" s="335"/>
      <c r="AP21" s="336"/>
      <c r="AQ21" s="336"/>
      <c r="AR21" s="336"/>
      <c r="AS21" s="336"/>
      <c r="AT21" s="337"/>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318"/>
      <c r="C22" s="318"/>
      <c r="D22" s="319"/>
      <c r="E22" s="308" t="s">
        <v>116</v>
      </c>
      <c r="F22" s="309"/>
      <c r="G22" s="309"/>
      <c r="H22" s="309"/>
      <c r="I22" s="310"/>
      <c r="J22" s="286" t="e">
        <f>IF(AND('Mapa final'!#REF!="Media",'Mapa final'!#REF!="Leve"),CONCATENATE("R",'Mapa final'!#REF!),"")</f>
        <v>#REF!</v>
      </c>
      <c r="K22" s="287"/>
      <c r="L22" s="287" t="str">
        <f>IF(AND('Mapa final'!$L$11="Media",'Mapa final'!$P$11="Leve"),CONCATENATE("R",'Mapa final'!$A$11),"")</f>
        <v/>
      </c>
      <c r="M22" s="287"/>
      <c r="N22" s="287" t="e">
        <f>IF(AND('Mapa final'!#REF!="Media",'Mapa final'!#REF!="Leve"),CONCATENATE("R",'Mapa final'!#REF!),"")</f>
        <v>#REF!</v>
      </c>
      <c r="O22" s="288"/>
      <c r="P22" s="286" t="e">
        <f>IF(AND('Mapa final'!#REF!="Media",'Mapa final'!#REF!="Menor"),CONCATENATE("R",'Mapa final'!#REF!),"")</f>
        <v>#REF!</v>
      </c>
      <c r="Q22" s="287"/>
      <c r="R22" s="287" t="str">
        <f>IF(AND('Mapa final'!$L$11="Media",'Mapa final'!$P$11="Menor"),CONCATENATE("R",'Mapa final'!$A$11),"")</f>
        <v/>
      </c>
      <c r="S22" s="287"/>
      <c r="T22" s="287" t="e">
        <f>IF(AND('Mapa final'!#REF!="Media",'Mapa final'!#REF!="Menor"),CONCATENATE("R",'Mapa final'!#REF!),"")</f>
        <v>#REF!</v>
      </c>
      <c r="U22" s="288"/>
      <c r="V22" s="286" t="e">
        <f>IF(AND('Mapa final'!#REF!="Media",'Mapa final'!#REF!="Moderado"),CONCATENATE("R",'Mapa final'!#REF!),"")</f>
        <v>#REF!</v>
      </c>
      <c r="W22" s="287"/>
      <c r="X22" s="287" t="str">
        <f>IF(AND('Mapa final'!$L$11="Media",'Mapa final'!$P$11="Moderado"),CONCATENATE("R",'Mapa final'!$A$11),"")</f>
        <v>R1</v>
      </c>
      <c r="Y22" s="287"/>
      <c r="Z22" s="287" t="e">
        <f>IF(AND('Mapa final'!#REF!="Media",'Mapa final'!#REF!="Moderado"),CONCATENATE("R",'Mapa final'!#REF!),"")</f>
        <v>#REF!</v>
      </c>
      <c r="AA22" s="288"/>
      <c r="AB22" s="304" t="e">
        <f>IF(AND('Mapa final'!#REF!="Media",'Mapa final'!#REF!="Mayor"),CONCATENATE("R",'Mapa final'!#REF!),"")</f>
        <v>#REF!</v>
      </c>
      <c r="AC22" s="305"/>
      <c r="AD22" s="305" t="str">
        <f>IF(AND('Mapa final'!$L$11="Media",'Mapa final'!$P$11="Mayor"),CONCATENATE("R",'Mapa final'!$A$11),"")</f>
        <v/>
      </c>
      <c r="AE22" s="305"/>
      <c r="AF22" s="305" t="e">
        <f>IF(AND('Mapa final'!#REF!="Media",'Mapa final'!#REF!="Mayor"),CONCATENATE("R",'Mapa final'!#REF!),"")</f>
        <v>#REF!</v>
      </c>
      <c r="AG22" s="306"/>
      <c r="AH22" s="295" t="e">
        <f>IF(AND('Mapa final'!#REF!="Media",'Mapa final'!#REF!="Catastrófico"),CONCATENATE("R",'Mapa final'!#REF!),"")</f>
        <v>#REF!</v>
      </c>
      <c r="AI22" s="296"/>
      <c r="AJ22" s="296" t="str">
        <f>IF(AND('Mapa final'!$L$11="Media",'Mapa final'!$P$11="Catastrófico"),CONCATENATE("R",'Mapa final'!$A$11),"")</f>
        <v/>
      </c>
      <c r="AK22" s="296"/>
      <c r="AL22" s="296" t="e">
        <f>IF(AND('Mapa final'!#REF!="Media",'Mapa final'!#REF!="Catastrófico"),CONCATENATE("R",'Mapa final'!#REF!),"")</f>
        <v>#REF!</v>
      </c>
      <c r="AM22" s="297"/>
      <c r="AN22" s="75"/>
      <c r="AO22" s="338" t="s">
        <v>80</v>
      </c>
      <c r="AP22" s="339"/>
      <c r="AQ22" s="339"/>
      <c r="AR22" s="339"/>
      <c r="AS22" s="339"/>
      <c r="AT22" s="340"/>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318"/>
      <c r="C23" s="318"/>
      <c r="D23" s="319"/>
      <c r="E23" s="311"/>
      <c r="F23" s="312"/>
      <c r="G23" s="312"/>
      <c r="H23" s="312"/>
      <c r="I23" s="313"/>
      <c r="J23" s="280"/>
      <c r="K23" s="281"/>
      <c r="L23" s="281"/>
      <c r="M23" s="281"/>
      <c r="N23" s="281"/>
      <c r="O23" s="282"/>
      <c r="P23" s="280"/>
      <c r="Q23" s="281"/>
      <c r="R23" s="281"/>
      <c r="S23" s="281"/>
      <c r="T23" s="281"/>
      <c r="U23" s="282"/>
      <c r="V23" s="280"/>
      <c r="W23" s="281"/>
      <c r="X23" s="281"/>
      <c r="Y23" s="281"/>
      <c r="Z23" s="281"/>
      <c r="AA23" s="282"/>
      <c r="AB23" s="298"/>
      <c r="AC23" s="299"/>
      <c r="AD23" s="299"/>
      <c r="AE23" s="299"/>
      <c r="AF23" s="299"/>
      <c r="AG23" s="300"/>
      <c r="AH23" s="289"/>
      <c r="AI23" s="290"/>
      <c r="AJ23" s="290"/>
      <c r="AK23" s="290"/>
      <c r="AL23" s="290"/>
      <c r="AM23" s="291"/>
      <c r="AN23" s="75"/>
      <c r="AO23" s="341"/>
      <c r="AP23" s="342"/>
      <c r="AQ23" s="342"/>
      <c r="AR23" s="342"/>
      <c r="AS23" s="342"/>
      <c r="AT23" s="343"/>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318"/>
      <c r="C24" s="318"/>
      <c r="D24" s="319"/>
      <c r="E24" s="311"/>
      <c r="F24" s="312"/>
      <c r="G24" s="312"/>
      <c r="H24" s="312"/>
      <c r="I24" s="313"/>
      <c r="J24" s="280" t="e">
        <f>IF(AND('Mapa final'!#REF!="Media",'Mapa final'!#REF!="Leve"),CONCATENATE("R",'Mapa final'!#REF!),"")</f>
        <v>#REF!</v>
      </c>
      <c r="K24" s="281"/>
      <c r="L24" s="281" t="e">
        <f>IF(AND('Mapa final'!#REF!="Media",'Mapa final'!#REF!="Leve"),CONCATENATE("R",'Mapa final'!#REF!),"")</f>
        <v>#REF!</v>
      </c>
      <c r="M24" s="281"/>
      <c r="N24" s="281" t="e">
        <f>IF(AND('Mapa final'!#REF!="Media",'Mapa final'!#REF!="Leve"),CONCATENATE("R",'Mapa final'!#REF!),"")</f>
        <v>#REF!</v>
      </c>
      <c r="O24" s="282"/>
      <c r="P24" s="280" t="e">
        <f>IF(AND('Mapa final'!#REF!="Media",'Mapa final'!#REF!="Menor"),CONCATENATE("R",'Mapa final'!#REF!),"")</f>
        <v>#REF!</v>
      </c>
      <c r="Q24" s="281"/>
      <c r="R24" s="281" t="e">
        <f>IF(AND('Mapa final'!#REF!="Media",'Mapa final'!#REF!="Menor"),CONCATENATE("R",'Mapa final'!#REF!),"")</f>
        <v>#REF!</v>
      </c>
      <c r="S24" s="281"/>
      <c r="T24" s="281" t="e">
        <f>IF(AND('Mapa final'!#REF!="Media",'Mapa final'!#REF!="Menor"),CONCATENATE("R",'Mapa final'!#REF!),"")</f>
        <v>#REF!</v>
      </c>
      <c r="U24" s="282"/>
      <c r="V24" s="280" t="e">
        <f>IF(AND('Mapa final'!#REF!="Media",'Mapa final'!#REF!="Moderado"),CONCATENATE("R",'Mapa final'!#REF!),"")</f>
        <v>#REF!</v>
      </c>
      <c r="W24" s="281"/>
      <c r="X24" s="281" t="e">
        <f>IF(AND('Mapa final'!#REF!="Media",'Mapa final'!#REF!="Moderado"),CONCATENATE("R",'Mapa final'!#REF!),"")</f>
        <v>#REF!</v>
      </c>
      <c r="Y24" s="281"/>
      <c r="Z24" s="281" t="e">
        <f>IF(AND('Mapa final'!#REF!="Media",'Mapa final'!#REF!="Moderado"),CONCATENATE("R",'Mapa final'!#REF!),"")</f>
        <v>#REF!</v>
      </c>
      <c r="AA24" s="282"/>
      <c r="AB24" s="298" t="e">
        <f>IF(AND('Mapa final'!#REF!="Media",'Mapa final'!#REF!="Mayor"),CONCATENATE("R",'Mapa final'!#REF!),"")</f>
        <v>#REF!</v>
      </c>
      <c r="AC24" s="299"/>
      <c r="AD24" s="299" t="e">
        <f>IF(AND('Mapa final'!#REF!="Media",'Mapa final'!#REF!="Mayor"),CONCATENATE("R",'Mapa final'!#REF!),"")</f>
        <v>#REF!</v>
      </c>
      <c r="AE24" s="299"/>
      <c r="AF24" s="299" t="e">
        <f>IF(AND('Mapa final'!#REF!="Media",'Mapa final'!#REF!="Mayor"),CONCATENATE("R",'Mapa final'!#REF!),"")</f>
        <v>#REF!</v>
      </c>
      <c r="AG24" s="300"/>
      <c r="AH24" s="289" t="e">
        <f>IF(AND('Mapa final'!#REF!="Media",'Mapa final'!#REF!="Catastrófico"),CONCATENATE("R",'Mapa final'!#REF!),"")</f>
        <v>#REF!</v>
      </c>
      <c r="AI24" s="290"/>
      <c r="AJ24" s="290" t="e">
        <f>IF(AND('Mapa final'!#REF!="Media",'Mapa final'!#REF!="Catastrófico"),CONCATENATE("R",'Mapa final'!#REF!),"")</f>
        <v>#REF!</v>
      </c>
      <c r="AK24" s="290"/>
      <c r="AL24" s="290" t="e">
        <f>IF(AND('Mapa final'!#REF!="Media",'Mapa final'!#REF!="Catastrófico"),CONCATENATE("R",'Mapa final'!#REF!),"")</f>
        <v>#REF!</v>
      </c>
      <c r="AM24" s="291"/>
      <c r="AN24" s="75"/>
      <c r="AO24" s="341"/>
      <c r="AP24" s="342"/>
      <c r="AQ24" s="342"/>
      <c r="AR24" s="342"/>
      <c r="AS24" s="342"/>
      <c r="AT24" s="343"/>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318"/>
      <c r="C25" s="318"/>
      <c r="D25" s="319"/>
      <c r="E25" s="311"/>
      <c r="F25" s="312"/>
      <c r="G25" s="312"/>
      <c r="H25" s="312"/>
      <c r="I25" s="313"/>
      <c r="J25" s="280"/>
      <c r="K25" s="281"/>
      <c r="L25" s="281"/>
      <c r="M25" s="281"/>
      <c r="N25" s="281"/>
      <c r="O25" s="282"/>
      <c r="P25" s="280"/>
      <c r="Q25" s="281"/>
      <c r="R25" s="281"/>
      <c r="S25" s="281"/>
      <c r="T25" s="281"/>
      <c r="U25" s="282"/>
      <c r="V25" s="280"/>
      <c r="W25" s="281"/>
      <c r="X25" s="281"/>
      <c r="Y25" s="281"/>
      <c r="Z25" s="281"/>
      <c r="AA25" s="282"/>
      <c r="AB25" s="298"/>
      <c r="AC25" s="299"/>
      <c r="AD25" s="299"/>
      <c r="AE25" s="299"/>
      <c r="AF25" s="299"/>
      <c r="AG25" s="300"/>
      <c r="AH25" s="289"/>
      <c r="AI25" s="290"/>
      <c r="AJ25" s="290"/>
      <c r="AK25" s="290"/>
      <c r="AL25" s="290"/>
      <c r="AM25" s="291"/>
      <c r="AN25" s="75"/>
      <c r="AO25" s="341"/>
      <c r="AP25" s="342"/>
      <c r="AQ25" s="342"/>
      <c r="AR25" s="342"/>
      <c r="AS25" s="342"/>
      <c r="AT25" s="343"/>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318"/>
      <c r="C26" s="318"/>
      <c r="D26" s="319"/>
      <c r="E26" s="311"/>
      <c r="F26" s="312"/>
      <c r="G26" s="312"/>
      <c r="H26" s="312"/>
      <c r="I26" s="313"/>
      <c r="J26" s="280" t="e">
        <f>IF(AND('Mapa final'!#REF!="Media",'Mapa final'!#REF!="Leve"),CONCATENATE("R",'Mapa final'!#REF!),"")</f>
        <v>#REF!</v>
      </c>
      <c r="K26" s="281"/>
      <c r="L26" s="281" t="e">
        <f>IF(AND('Mapa final'!#REF!="Media",'Mapa final'!#REF!="Leve"),CONCATENATE("R",'Mapa final'!#REF!),"")</f>
        <v>#REF!</v>
      </c>
      <c r="M26" s="281"/>
      <c r="N26" s="281" t="e">
        <f>IF(AND('Mapa final'!#REF!="Media",'Mapa final'!#REF!="Leve"),CONCATENATE("R",'Mapa final'!#REF!),"")</f>
        <v>#REF!</v>
      </c>
      <c r="O26" s="282"/>
      <c r="P26" s="280" t="e">
        <f>IF(AND('Mapa final'!#REF!="Media",'Mapa final'!#REF!="Menor"),CONCATENATE("R",'Mapa final'!#REF!),"")</f>
        <v>#REF!</v>
      </c>
      <c r="Q26" s="281"/>
      <c r="R26" s="281" t="e">
        <f>IF(AND('Mapa final'!#REF!="Media",'Mapa final'!#REF!="Menor"),CONCATENATE("R",'Mapa final'!#REF!),"")</f>
        <v>#REF!</v>
      </c>
      <c r="S26" s="281"/>
      <c r="T26" s="281" t="e">
        <f>IF(AND('Mapa final'!#REF!="Media",'Mapa final'!#REF!="Menor"),CONCATENATE("R",'Mapa final'!#REF!),"")</f>
        <v>#REF!</v>
      </c>
      <c r="U26" s="282"/>
      <c r="V26" s="280" t="e">
        <f>IF(AND('Mapa final'!#REF!="Media",'Mapa final'!#REF!="Moderado"),CONCATENATE("R",'Mapa final'!#REF!),"")</f>
        <v>#REF!</v>
      </c>
      <c r="W26" s="281"/>
      <c r="X26" s="281" t="e">
        <f>IF(AND('Mapa final'!#REF!="Media",'Mapa final'!#REF!="Moderado"),CONCATENATE("R",'Mapa final'!#REF!),"")</f>
        <v>#REF!</v>
      </c>
      <c r="Y26" s="281"/>
      <c r="Z26" s="281" t="e">
        <f>IF(AND('Mapa final'!#REF!="Media",'Mapa final'!#REF!="Moderado"),CONCATENATE("R",'Mapa final'!#REF!),"")</f>
        <v>#REF!</v>
      </c>
      <c r="AA26" s="282"/>
      <c r="AB26" s="298" t="e">
        <f>IF(AND('Mapa final'!#REF!="Media",'Mapa final'!#REF!="Mayor"),CONCATENATE("R",'Mapa final'!#REF!),"")</f>
        <v>#REF!</v>
      </c>
      <c r="AC26" s="299"/>
      <c r="AD26" s="299" t="e">
        <f>IF(AND('Mapa final'!#REF!="Media",'Mapa final'!#REF!="Mayor"),CONCATENATE("R",'Mapa final'!#REF!),"")</f>
        <v>#REF!</v>
      </c>
      <c r="AE26" s="299"/>
      <c r="AF26" s="299" t="e">
        <f>IF(AND('Mapa final'!#REF!="Media",'Mapa final'!#REF!="Mayor"),CONCATENATE("R",'Mapa final'!#REF!),"")</f>
        <v>#REF!</v>
      </c>
      <c r="AG26" s="300"/>
      <c r="AH26" s="289" t="e">
        <f>IF(AND('Mapa final'!#REF!="Media",'Mapa final'!#REF!="Catastrófico"),CONCATENATE("R",'Mapa final'!#REF!),"")</f>
        <v>#REF!</v>
      </c>
      <c r="AI26" s="290"/>
      <c r="AJ26" s="290" t="e">
        <f>IF(AND('Mapa final'!#REF!="Media",'Mapa final'!#REF!="Catastrófico"),CONCATENATE("R",'Mapa final'!#REF!),"")</f>
        <v>#REF!</v>
      </c>
      <c r="AK26" s="290"/>
      <c r="AL26" s="290" t="e">
        <f>IF(AND('Mapa final'!#REF!="Media",'Mapa final'!#REF!="Catastrófico"),CONCATENATE("R",'Mapa final'!#REF!),"")</f>
        <v>#REF!</v>
      </c>
      <c r="AM26" s="291"/>
      <c r="AN26" s="75"/>
      <c r="AO26" s="341"/>
      <c r="AP26" s="342"/>
      <c r="AQ26" s="342"/>
      <c r="AR26" s="342"/>
      <c r="AS26" s="342"/>
      <c r="AT26" s="343"/>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318"/>
      <c r="C27" s="318"/>
      <c r="D27" s="319"/>
      <c r="E27" s="311"/>
      <c r="F27" s="312"/>
      <c r="G27" s="312"/>
      <c r="H27" s="312"/>
      <c r="I27" s="313"/>
      <c r="J27" s="280"/>
      <c r="K27" s="281"/>
      <c r="L27" s="281"/>
      <c r="M27" s="281"/>
      <c r="N27" s="281"/>
      <c r="O27" s="282"/>
      <c r="P27" s="280"/>
      <c r="Q27" s="281"/>
      <c r="R27" s="281"/>
      <c r="S27" s="281"/>
      <c r="T27" s="281"/>
      <c r="U27" s="282"/>
      <c r="V27" s="280"/>
      <c r="W27" s="281"/>
      <c r="X27" s="281"/>
      <c r="Y27" s="281"/>
      <c r="Z27" s="281"/>
      <c r="AA27" s="282"/>
      <c r="AB27" s="298"/>
      <c r="AC27" s="299"/>
      <c r="AD27" s="299"/>
      <c r="AE27" s="299"/>
      <c r="AF27" s="299"/>
      <c r="AG27" s="300"/>
      <c r="AH27" s="289"/>
      <c r="AI27" s="290"/>
      <c r="AJ27" s="290"/>
      <c r="AK27" s="290"/>
      <c r="AL27" s="290"/>
      <c r="AM27" s="291"/>
      <c r="AN27" s="75"/>
      <c r="AO27" s="341"/>
      <c r="AP27" s="342"/>
      <c r="AQ27" s="342"/>
      <c r="AR27" s="342"/>
      <c r="AS27" s="342"/>
      <c r="AT27" s="343"/>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318"/>
      <c r="C28" s="318"/>
      <c r="D28" s="319"/>
      <c r="E28" s="311"/>
      <c r="F28" s="312"/>
      <c r="G28" s="312"/>
      <c r="H28" s="312"/>
      <c r="I28" s="313"/>
      <c r="J28" s="280" t="e">
        <f>IF(AND('Mapa final'!#REF!="Media",'Mapa final'!#REF!="Leve"),CONCATENATE("R",'Mapa final'!#REF!),"")</f>
        <v>#REF!</v>
      </c>
      <c r="K28" s="281"/>
      <c r="L28" s="281" t="str">
        <f>IF(AND('Mapa final'!$L$21="Media",'Mapa final'!$P$21="Leve"),CONCATENATE("R",'Mapa final'!$A$21),"")</f>
        <v/>
      </c>
      <c r="M28" s="281"/>
      <c r="N28" s="281" t="str">
        <f>IF(AND('Mapa final'!$L$23="Media",'Mapa final'!$P$23="Leve"),CONCATENATE("R",'Mapa final'!$A$23),"")</f>
        <v/>
      </c>
      <c r="O28" s="282"/>
      <c r="P28" s="280" t="e">
        <f>IF(AND('Mapa final'!#REF!="Media",'Mapa final'!#REF!="Menor"),CONCATENATE("R",'Mapa final'!#REF!),"")</f>
        <v>#REF!</v>
      </c>
      <c r="Q28" s="281"/>
      <c r="R28" s="281" t="str">
        <f>IF(AND('Mapa final'!$L$21="Media",'Mapa final'!$P$21="Menor"),CONCATENATE("R",'Mapa final'!$A$21),"")</f>
        <v/>
      </c>
      <c r="S28" s="281"/>
      <c r="T28" s="281" t="str">
        <f>IF(AND('Mapa final'!$L$23="Media",'Mapa final'!$P$23="Menor"),CONCATENATE("R",'Mapa final'!$A$23),"")</f>
        <v/>
      </c>
      <c r="U28" s="282"/>
      <c r="V28" s="280" t="e">
        <f>IF(AND('Mapa final'!#REF!="Media",'Mapa final'!#REF!="Moderado"),CONCATENATE("R",'Mapa final'!#REF!),"")</f>
        <v>#REF!</v>
      </c>
      <c r="W28" s="281"/>
      <c r="X28" s="281" t="str">
        <f>IF(AND('Mapa final'!$L$21="Media",'Mapa final'!$P$21="Moderado"),CONCATENATE("R",'Mapa final'!$A$21),"")</f>
        <v/>
      </c>
      <c r="Y28" s="281"/>
      <c r="Z28" s="281" t="str">
        <f>IF(AND('Mapa final'!$L$23="Media",'Mapa final'!$P$23="Moderado"),CONCATENATE("R",'Mapa final'!$A$23),"")</f>
        <v/>
      </c>
      <c r="AA28" s="282"/>
      <c r="AB28" s="298" t="e">
        <f>IF(AND('Mapa final'!#REF!="Media",'Mapa final'!#REF!="Mayor"),CONCATENATE("R",'Mapa final'!#REF!),"")</f>
        <v>#REF!</v>
      </c>
      <c r="AC28" s="299"/>
      <c r="AD28" s="299" t="str">
        <f>IF(AND('Mapa final'!$L$21="Media",'Mapa final'!$P$21="Mayor"),CONCATENATE("R",'Mapa final'!$A$21),"")</f>
        <v/>
      </c>
      <c r="AE28" s="299"/>
      <c r="AF28" s="299" t="str">
        <f>IF(AND('Mapa final'!$L$23="Media",'Mapa final'!$P$23="Mayor"),CONCATENATE("R",'Mapa final'!$A$23),"")</f>
        <v/>
      </c>
      <c r="AG28" s="300"/>
      <c r="AH28" s="289" t="e">
        <f>IF(AND('Mapa final'!#REF!="Media",'Mapa final'!#REF!="Catastrófico"),CONCATENATE("R",'Mapa final'!#REF!),"")</f>
        <v>#REF!</v>
      </c>
      <c r="AI28" s="290"/>
      <c r="AJ28" s="290" t="str">
        <f>IF(AND('Mapa final'!$L$21="Media",'Mapa final'!$P$21="Catastrófico"),CONCATENATE("R",'Mapa final'!$A$21),"")</f>
        <v/>
      </c>
      <c r="AK28" s="290"/>
      <c r="AL28" s="290" t="str">
        <f>IF(AND('Mapa final'!$L$23="Media",'Mapa final'!$P$23="Catastrófico"),CONCATENATE("R",'Mapa final'!$A$23),"")</f>
        <v/>
      </c>
      <c r="AM28" s="291"/>
      <c r="AN28" s="75"/>
      <c r="AO28" s="341"/>
      <c r="AP28" s="342"/>
      <c r="AQ28" s="342"/>
      <c r="AR28" s="342"/>
      <c r="AS28" s="342"/>
      <c r="AT28" s="343"/>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318"/>
      <c r="C29" s="318"/>
      <c r="D29" s="319"/>
      <c r="E29" s="314"/>
      <c r="F29" s="315"/>
      <c r="G29" s="315"/>
      <c r="H29" s="315"/>
      <c r="I29" s="316"/>
      <c r="J29" s="280"/>
      <c r="K29" s="281"/>
      <c r="L29" s="281"/>
      <c r="M29" s="281"/>
      <c r="N29" s="281"/>
      <c r="O29" s="282"/>
      <c r="P29" s="283"/>
      <c r="Q29" s="284"/>
      <c r="R29" s="284"/>
      <c r="S29" s="284"/>
      <c r="T29" s="284"/>
      <c r="U29" s="285"/>
      <c r="V29" s="283"/>
      <c r="W29" s="284"/>
      <c r="X29" s="284"/>
      <c r="Y29" s="284"/>
      <c r="Z29" s="284"/>
      <c r="AA29" s="285"/>
      <c r="AB29" s="301"/>
      <c r="AC29" s="302"/>
      <c r="AD29" s="302"/>
      <c r="AE29" s="302"/>
      <c r="AF29" s="302"/>
      <c r="AG29" s="303"/>
      <c r="AH29" s="292"/>
      <c r="AI29" s="293"/>
      <c r="AJ29" s="293"/>
      <c r="AK29" s="293"/>
      <c r="AL29" s="293"/>
      <c r="AM29" s="294"/>
      <c r="AN29" s="75"/>
      <c r="AO29" s="344"/>
      <c r="AP29" s="345"/>
      <c r="AQ29" s="345"/>
      <c r="AR29" s="345"/>
      <c r="AS29" s="345"/>
      <c r="AT29" s="346"/>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318"/>
      <c r="C30" s="318"/>
      <c r="D30" s="319"/>
      <c r="E30" s="308" t="s">
        <v>113</v>
      </c>
      <c r="F30" s="309"/>
      <c r="G30" s="309"/>
      <c r="H30" s="309"/>
      <c r="I30" s="309"/>
      <c r="J30" s="277" t="e">
        <f>IF(AND('Mapa final'!#REF!="Baja",'Mapa final'!#REF!="Leve"),CONCATENATE("R",'Mapa final'!#REF!),"")</f>
        <v>#REF!</v>
      </c>
      <c r="K30" s="278"/>
      <c r="L30" s="278" t="str">
        <f>IF(AND('Mapa final'!$L$11="Baja",'Mapa final'!$P$11="Leve"),CONCATENATE("R",'Mapa final'!$A$11),"")</f>
        <v/>
      </c>
      <c r="M30" s="278"/>
      <c r="N30" s="278" t="e">
        <f>IF(AND('Mapa final'!#REF!="Baja",'Mapa final'!#REF!="Leve"),CONCATENATE("R",'Mapa final'!#REF!),"")</f>
        <v>#REF!</v>
      </c>
      <c r="O30" s="279"/>
      <c r="P30" s="287" t="e">
        <f>IF(AND('Mapa final'!#REF!="Baja",'Mapa final'!#REF!="Menor"),CONCATENATE("R",'Mapa final'!#REF!),"")</f>
        <v>#REF!</v>
      </c>
      <c r="Q30" s="287"/>
      <c r="R30" s="287" t="str">
        <f>IF(AND('Mapa final'!$L$11="Baja",'Mapa final'!$P$11="Menor"),CONCATENATE("R",'Mapa final'!$A$11),"")</f>
        <v/>
      </c>
      <c r="S30" s="287"/>
      <c r="T30" s="287" t="e">
        <f>IF(AND('Mapa final'!#REF!="Baja",'Mapa final'!#REF!="Menor"),CONCATENATE("R",'Mapa final'!#REF!),"")</f>
        <v>#REF!</v>
      </c>
      <c r="U30" s="288"/>
      <c r="V30" s="286" t="e">
        <f>IF(AND('Mapa final'!#REF!="Baja",'Mapa final'!#REF!="Moderado"),CONCATENATE("R",'Mapa final'!#REF!),"")</f>
        <v>#REF!</v>
      </c>
      <c r="W30" s="287"/>
      <c r="X30" s="287" t="str">
        <f>IF(AND('Mapa final'!$L$11="Baja",'Mapa final'!$P$11="Moderado"),CONCATENATE("R",'Mapa final'!$A$11),"")</f>
        <v/>
      </c>
      <c r="Y30" s="287"/>
      <c r="Z30" s="287" t="e">
        <f>IF(AND('Mapa final'!#REF!="Baja",'Mapa final'!#REF!="Moderado"),CONCATENATE("R",'Mapa final'!#REF!),"")</f>
        <v>#REF!</v>
      </c>
      <c r="AA30" s="288"/>
      <c r="AB30" s="304" t="e">
        <f>IF(AND('Mapa final'!#REF!="Baja",'Mapa final'!#REF!="Mayor"),CONCATENATE("R",'Mapa final'!#REF!),"")</f>
        <v>#REF!</v>
      </c>
      <c r="AC30" s="305"/>
      <c r="AD30" s="305" t="str">
        <f>IF(AND('Mapa final'!$L$11="Baja",'Mapa final'!$P$11="Mayor"),CONCATENATE("R",'Mapa final'!$A$11),"")</f>
        <v/>
      </c>
      <c r="AE30" s="305"/>
      <c r="AF30" s="305" t="e">
        <f>IF(AND('Mapa final'!#REF!="Baja",'Mapa final'!#REF!="Mayor"),CONCATENATE("R",'Mapa final'!#REF!),"")</f>
        <v>#REF!</v>
      </c>
      <c r="AG30" s="306"/>
      <c r="AH30" s="295" t="e">
        <f>IF(AND('Mapa final'!#REF!="Baja",'Mapa final'!#REF!="Catastrófico"),CONCATENATE("R",'Mapa final'!#REF!),"")</f>
        <v>#REF!</v>
      </c>
      <c r="AI30" s="296"/>
      <c r="AJ30" s="296" t="str">
        <f>IF(AND('Mapa final'!$L$11="Baja",'Mapa final'!$P$11="Catastrófico"),CONCATENATE("R",'Mapa final'!$A$11),"")</f>
        <v/>
      </c>
      <c r="AK30" s="296"/>
      <c r="AL30" s="296" t="e">
        <f>IF(AND('Mapa final'!#REF!="Baja",'Mapa final'!#REF!="Catastrófico"),CONCATENATE("R",'Mapa final'!#REF!),"")</f>
        <v>#REF!</v>
      </c>
      <c r="AM30" s="297"/>
      <c r="AN30" s="75"/>
      <c r="AO30" s="347" t="s">
        <v>81</v>
      </c>
      <c r="AP30" s="348"/>
      <c r="AQ30" s="348"/>
      <c r="AR30" s="348"/>
      <c r="AS30" s="348"/>
      <c r="AT30" s="349"/>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318"/>
      <c r="C31" s="318"/>
      <c r="D31" s="319"/>
      <c r="E31" s="311"/>
      <c r="F31" s="312"/>
      <c r="G31" s="312"/>
      <c r="H31" s="312"/>
      <c r="I31" s="312"/>
      <c r="J31" s="271"/>
      <c r="K31" s="272"/>
      <c r="L31" s="272"/>
      <c r="M31" s="272"/>
      <c r="N31" s="272"/>
      <c r="O31" s="273"/>
      <c r="P31" s="281"/>
      <c r="Q31" s="281"/>
      <c r="R31" s="281"/>
      <c r="S31" s="281"/>
      <c r="T31" s="281"/>
      <c r="U31" s="282"/>
      <c r="V31" s="280"/>
      <c r="W31" s="281"/>
      <c r="X31" s="281"/>
      <c r="Y31" s="281"/>
      <c r="Z31" s="281"/>
      <c r="AA31" s="282"/>
      <c r="AB31" s="298"/>
      <c r="AC31" s="299"/>
      <c r="AD31" s="299"/>
      <c r="AE31" s="299"/>
      <c r="AF31" s="299"/>
      <c r="AG31" s="300"/>
      <c r="AH31" s="289"/>
      <c r="AI31" s="290"/>
      <c r="AJ31" s="290"/>
      <c r="AK31" s="290"/>
      <c r="AL31" s="290"/>
      <c r="AM31" s="291"/>
      <c r="AN31" s="75"/>
      <c r="AO31" s="350"/>
      <c r="AP31" s="351"/>
      <c r="AQ31" s="351"/>
      <c r="AR31" s="351"/>
      <c r="AS31" s="351"/>
      <c r="AT31" s="352"/>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318"/>
      <c r="C32" s="318"/>
      <c r="D32" s="319"/>
      <c r="E32" s="311"/>
      <c r="F32" s="312"/>
      <c r="G32" s="312"/>
      <c r="H32" s="312"/>
      <c r="I32" s="312"/>
      <c r="J32" s="271" t="e">
        <f>IF(AND('Mapa final'!#REF!="Baja",'Mapa final'!#REF!="Leve"),CONCATENATE("R",'Mapa final'!#REF!),"")</f>
        <v>#REF!</v>
      </c>
      <c r="K32" s="272"/>
      <c r="L32" s="272" t="e">
        <f>IF(AND('Mapa final'!#REF!="Baja",'Mapa final'!#REF!="Leve"),CONCATENATE("R",'Mapa final'!#REF!),"")</f>
        <v>#REF!</v>
      </c>
      <c r="M32" s="272"/>
      <c r="N32" s="272" t="e">
        <f>IF(AND('Mapa final'!#REF!="Baja",'Mapa final'!#REF!="Leve"),CONCATENATE("R",'Mapa final'!#REF!),"")</f>
        <v>#REF!</v>
      </c>
      <c r="O32" s="273"/>
      <c r="P32" s="281" t="e">
        <f>IF(AND('Mapa final'!#REF!="Baja",'Mapa final'!#REF!="Menor"),CONCATENATE("R",'Mapa final'!#REF!),"")</f>
        <v>#REF!</v>
      </c>
      <c r="Q32" s="281"/>
      <c r="R32" s="281" t="e">
        <f>IF(AND('Mapa final'!#REF!="Baja",'Mapa final'!#REF!="Menor"),CONCATENATE("R",'Mapa final'!#REF!),"")</f>
        <v>#REF!</v>
      </c>
      <c r="S32" s="281"/>
      <c r="T32" s="281" t="e">
        <f>IF(AND('Mapa final'!#REF!="Baja",'Mapa final'!#REF!="Menor"),CONCATENATE("R",'Mapa final'!#REF!),"")</f>
        <v>#REF!</v>
      </c>
      <c r="U32" s="282"/>
      <c r="V32" s="280" t="e">
        <f>IF(AND('Mapa final'!#REF!="Baja",'Mapa final'!#REF!="Moderado"),CONCATENATE("R",'Mapa final'!#REF!),"")</f>
        <v>#REF!</v>
      </c>
      <c r="W32" s="281"/>
      <c r="X32" s="281" t="e">
        <f>IF(AND('Mapa final'!#REF!="Baja",'Mapa final'!#REF!="Moderado"),CONCATENATE("R",'Mapa final'!#REF!),"")</f>
        <v>#REF!</v>
      </c>
      <c r="Y32" s="281"/>
      <c r="Z32" s="281" t="e">
        <f>IF(AND('Mapa final'!#REF!="Baja",'Mapa final'!#REF!="Moderado"),CONCATENATE("R",'Mapa final'!#REF!),"")</f>
        <v>#REF!</v>
      </c>
      <c r="AA32" s="282"/>
      <c r="AB32" s="298" t="e">
        <f>IF(AND('Mapa final'!#REF!="Baja",'Mapa final'!#REF!="Mayor"),CONCATENATE("R",'Mapa final'!#REF!),"")</f>
        <v>#REF!</v>
      </c>
      <c r="AC32" s="299"/>
      <c r="AD32" s="299" t="e">
        <f>IF(AND('Mapa final'!#REF!="Baja",'Mapa final'!#REF!="Mayor"),CONCATENATE("R",'Mapa final'!#REF!),"")</f>
        <v>#REF!</v>
      </c>
      <c r="AE32" s="299"/>
      <c r="AF32" s="299" t="e">
        <f>IF(AND('Mapa final'!#REF!="Baja",'Mapa final'!#REF!="Mayor"),CONCATENATE("R",'Mapa final'!#REF!),"")</f>
        <v>#REF!</v>
      </c>
      <c r="AG32" s="300"/>
      <c r="AH32" s="289" t="e">
        <f>IF(AND('Mapa final'!#REF!="Baja",'Mapa final'!#REF!="Catastrófico"),CONCATENATE("R",'Mapa final'!#REF!),"")</f>
        <v>#REF!</v>
      </c>
      <c r="AI32" s="290"/>
      <c r="AJ32" s="290" t="e">
        <f>IF(AND('Mapa final'!#REF!="Baja",'Mapa final'!#REF!="Catastrófico"),CONCATENATE("R",'Mapa final'!#REF!),"")</f>
        <v>#REF!</v>
      </c>
      <c r="AK32" s="290"/>
      <c r="AL32" s="290" t="e">
        <f>IF(AND('Mapa final'!#REF!="Baja",'Mapa final'!#REF!="Catastrófico"),CONCATENATE("R",'Mapa final'!#REF!),"")</f>
        <v>#REF!</v>
      </c>
      <c r="AM32" s="291"/>
      <c r="AN32" s="75"/>
      <c r="AO32" s="350"/>
      <c r="AP32" s="351"/>
      <c r="AQ32" s="351"/>
      <c r="AR32" s="351"/>
      <c r="AS32" s="351"/>
      <c r="AT32" s="352"/>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318"/>
      <c r="C33" s="318"/>
      <c r="D33" s="319"/>
      <c r="E33" s="311"/>
      <c r="F33" s="312"/>
      <c r="G33" s="312"/>
      <c r="H33" s="312"/>
      <c r="I33" s="312"/>
      <c r="J33" s="271"/>
      <c r="K33" s="272"/>
      <c r="L33" s="272"/>
      <c r="M33" s="272"/>
      <c r="N33" s="272"/>
      <c r="O33" s="273"/>
      <c r="P33" s="281"/>
      <c r="Q33" s="281"/>
      <c r="R33" s="281"/>
      <c r="S33" s="281"/>
      <c r="T33" s="281"/>
      <c r="U33" s="282"/>
      <c r="V33" s="280"/>
      <c r="W33" s="281"/>
      <c r="X33" s="281"/>
      <c r="Y33" s="281"/>
      <c r="Z33" s="281"/>
      <c r="AA33" s="282"/>
      <c r="AB33" s="298"/>
      <c r="AC33" s="299"/>
      <c r="AD33" s="299"/>
      <c r="AE33" s="299"/>
      <c r="AF33" s="299"/>
      <c r="AG33" s="300"/>
      <c r="AH33" s="289"/>
      <c r="AI33" s="290"/>
      <c r="AJ33" s="290"/>
      <c r="AK33" s="290"/>
      <c r="AL33" s="290"/>
      <c r="AM33" s="291"/>
      <c r="AN33" s="75"/>
      <c r="AO33" s="350"/>
      <c r="AP33" s="351"/>
      <c r="AQ33" s="351"/>
      <c r="AR33" s="351"/>
      <c r="AS33" s="351"/>
      <c r="AT33" s="352"/>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318"/>
      <c r="C34" s="318"/>
      <c r="D34" s="319"/>
      <c r="E34" s="311"/>
      <c r="F34" s="312"/>
      <c r="G34" s="312"/>
      <c r="H34" s="312"/>
      <c r="I34" s="312"/>
      <c r="J34" s="271" t="e">
        <f>IF(AND('Mapa final'!#REF!="Baja",'Mapa final'!#REF!="Leve"),CONCATENATE("R",'Mapa final'!#REF!),"")</f>
        <v>#REF!</v>
      </c>
      <c r="K34" s="272"/>
      <c r="L34" s="272" t="e">
        <f>IF(AND('Mapa final'!#REF!="Baja",'Mapa final'!#REF!="Leve"),CONCATENATE("R",'Mapa final'!#REF!),"")</f>
        <v>#REF!</v>
      </c>
      <c r="M34" s="272"/>
      <c r="N34" s="272" t="e">
        <f>IF(AND('Mapa final'!#REF!="Baja",'Mapa final'!#REF!="Leve"),CONCATENATE("R",'Mapa final'!#REF!),"")</f>
        <v>#REF!</v>
      </c>
      <c r="O34" s="273"/>
      <c r="P34" s="281" t="e">
        <f>IF(AND('Mapa final'!#REF!="Baja",'Mapa final'!#REF!="Menor"),CONCATENATE("R",'Mapa final'!#REF!),"")</f>
        <v>#REF!</v>
      </c>
      <c r="Q34" s="281"/>
      <c r="R34" s="281" t="e">
        <f>IF(AND('Mapa final'!#REF!="Baja",'Mapa final'!#REF!="Menor"),CONCATENATE("R",'Mapa final'!#REF!),"")</f>
        <v>#REF!</v>
      </c>
      <c r="S34" s="281"/>
      <c r="T34" s="281" t="e">
        <f>IF(AND('Mapa final'!#REF!="Baja",'Mapa final'!#REF!="Menor"),CONCATENATE("R",'Mapa final'!#REF!),"")</f>
        <v>#REF!</v>
      </c>
      <c r="U34" s="282"/>
      <c r="V34" s="280" t="e">
        <f>IF(AND('Mapa final'!#REF!="Baja",'Mapa final'!#REF!="Moderado"),CONCATENATE("R",'Mapa final'!#REF!),"")</f>
        <v>#REF!</v>
      </c>
      <c r="W34" s="281"/>
      <c r="X34" s="281" t="e">
        <f>IF(AND('Mapa final'!#REF!="Baja",'Mapa final'!#REF!="Moderado"),CONCATENATE("R",'Mapa final'!#REF!),"")</f>
        <v>#REF!</v>
      </c>
      <c r="Y34" s="281"/>
      <c r="Z34" s="281" t="e">
        <f>IF(AND('Mapa final'!#REF!="Baja",'Mapa final'!#REF!="Moderado"),CONCATENATE("R",'Mapa final'!#REF!),"")</f>
        <v>#REF!</v>
      </c>
      <c r="AA34" s="282"/>
      <c r="AB34" s="298" t="e">
        <f>IF(AND('Mapa final'!#REF!="Baja",'Mapa final'!#REF!="Mayor"),CONCATENATE("R",'Mapa final'!#REF!),"")</f>
        <v>#REF!</v>
      </c>
      <c r="AC34" s="299"/>
      <c r="AD34" s="299" t="e">
        <f>IF(AND('Mapa final'!#REF!="Baja",'Mapa final'!#REF!="Mayor"),CONCATENATE("R",'Mapa final'!#REF!),"")</f>
        <v>#REF!</v>
      </c>
      <c r="AE34" s="299"/>
      <c r="AF34" s="299" t="e">
        <f>IF(AND('Mapa final'!#REF!="Baja",'Mapa final'!#REF!="Mayor"),CONCATENATE("R",'Mapa final'!#REF!),"")</f>
        <v>#REF!</v>
      </c>
      <c r="AG34" s="300"/>
      <c r="AH34" s="289" t="e">
        <f>IF(AND('Mapa final'!#REF!="Baja",'Mapa final'!#REF!="Catastrófico"),CONCATENATE("R",'Mapa final'!#REF!),"")</f>
        <v>#REF!</v>
      </c>
      <c r="AI34" s="290"/>
      <c r="AJ34" s="290" t="e">
        <f>IF(AND('Mapa final'!#REF!="Baja",'Mapa final'!#REF!="Catastrófico"),CONCATENATE("R",'Mapa final'!#REF!),"")</f>
        <v>#REF!</v>
      </c>
      <c r="AK34" s="290"/>
      <c r="AL34" s="290" t="e">
        <f>IF(AND('Mapa final'!#REF!="Baja",'Mapa final'!#REF!="Catastrófico"),CONCATENATE("R",'Mapa final'!#REF!),"")</f>
        <v>#REF!</v>
      </c>
      <c r="AM34" s="291"/>
      <c r="AN34" s="75"/>
      <c r="AO34" s="350"/>
      <c r="AP34" s="351"/>
      <c r="AQ34" s="351"/>
      <c r="AR34" s="351"/>
      <c r="AS34" s="351"/>
      <c r="AT34" s="352"/>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318"/>
      <c r="C35" s="318"/>
      <c r="D35" s="319"/>
      <c r="E35" s="311"/>
      <c r="F35" s="312"/>
      <c r="G35" s="312"/>
      <c r="H35" s="312"/>
      <c r="I35" s="312"/>
      <c r="J35" s="271"/>
      <c r="K35" s="272"/>
      <c r="L35" s="272"/>
      <c r="M35" s="272"/>
      <c r="N35" s="272"/>
      <c r="O35" s="273"/>
      <c r="P35" s="281"/>
      <c r="Q35" s="281"/>
      <c r="R35" s="281"/>
      <c r="S35" s="281"/>
      <c r="T35" s="281"/>
      <c r="U35" s="282"/>
      <c r="V35" s="280"/>
      <c r="W35" s="281"/>
      <c r="X35" s="281"/>
      <c r="Y35" s="281"/>
      <c r="Z35" s="281"/>
      <c r="AA35" s="282"/>
      <c r="AB35" s="298"/>
      <c r="AC35" s="299"/>
      <c r="AD35" s="299"/>
      <c r="AE35" s="299"/>
      <c r="AF35" s="299"/>
      <c r="AG35" s="300"/>
      <c r="AH35" s="289"/>
      <c r="AI35" s="290"/>
      <c r="AJ35" s="290"/>
      <c r="AK35" s="290"/>
      <c r="AL35" s="290"/>
      <c r="AM35" s="291"/>
      <c r="AN35" s="75"/>
      <c r="AO35" s="350"/>
      <c r="AP35" s="351"/>
      <c r="AQ35" s="351"/>
      <c r="AR35" s="351"/>
      <c r="AS35" s="351"/>
      <c r="AT35" s="352"/>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318"/>
      <c r="C36" s="318"/>
      <c r="D36" s="319"/>
      <c r="E36" s="311"/>
      <c r="F36" s="312"/>
      <c r="G36" s="312"/>
      <c r="H36" s="312"/>
      <c r="I36" s="312"/>
      <c r="J36" s="271" t="e">
        <f>IF(AND('Mapa final'!#REF!="Baja",'Mapa final'!#REF!="Leve"),CONCATENATE("R",'Mapa final'!#REF!),"")</f>
        <v>#REF!</v>
      </c>
      <c r="K36" s="272"/>
      <c r="L36" s="272" t="str">
        <f>IF(AND('Mapa final'!$L$21="Baja",'Mapa final'!$P$21="Leve"),CONCATENATE("R",'Mapa final'!$A$21),"")</f>
        <v/>
      </c>
      <c r="M36" s="272"/>
      <c r="N36" s="272" t="str">
        <f>IF(AND('Mapa final'!$L$23="Baja",'Mapa final'!$P$23="Leve"),CONCATENATE("R",'Mapa final'!$A$23),"")</f>
        <v/>
      </c>
      <c r="O36" s="273"/>
      <c r="P36" s="281" t="e">
        <f>IF(AND('Mapa final'!#REF!="Baja",'Mapa final'!#REF!="Menor"),CONCATENATE("R",'Mapa final'!#REF!),"")</f>
        <v>#REF!</v>
      </c>
      <c r="Q36" s="281"/>
      <c r="R36" s="281" t="str">
        <f>IF(AND('Mapa final'!$L$21="Baja",'Mapa final'!$P$21="Menor"),CONCATENATE("R",'Mapa final'!$A$21),"")</f>
        <v/>
      </c>
      <c r="S36" s="281"/>
      <c r="T36" s="281" t="str">
        <f>IF(AND('Mapa final'!$L$23="Baja",'Mapa final'!$P$23="Menor"),CONCATENATE("R",'Mapa final'!$A$23),"")</f>
        <v/>
      </c>
      <c r="U36" s="282"/>
      <c r="V36" s="280" t="e">
        <f>IF(AND('Mapa final'!#REF!="Baja",'Mapa final'!#REF!="Moderado"),CONCATENATE("R",'Mapa final'!#REF!),"")</f>
        <v>#REF!</v>
      </c>
      <c r="W36" s="281"/>
      <c r="X36" s="281" t="str">
        <f>IF(AND('Mapa final'!$L$21="Baja",'Mapa final'!$P$21="Moderado"),CONCATENATE("R",'Mapa final'!$A$21),"")</f>
        <v/>
      </c>
      <c r="Y36" s="281"/>
      <c r="Z36" s="281" t="str">
        <f>IF(AND('Mapa final'!$L$23="Baja",'Mapa final'!$P$23="Moderado"),CONCATENATE("R",'Mapa final'!$A$23),"")</f>
        <v/>
      </c>
      <c r="AA36" s="282"/>
      <c r="AB36" s="298" t="e">
        <f>IF(AND('Mapa final'!#REF!="Baja",'Mapa final'!#REF!="Mayor"),CONCATENATE("R",'Mapa final'!#REF!),"")</f>
        <v>#REF!</v>
      </c>
      <c r="AC36" s="299"/>
      <c r="AD36" s="299" t="str">
        <f>IF(AND('Mapa final'!$L$21="Baja",'Mapa final'!$P$21="Mayor"),CONCATENATE("R",'Mapa final'!$A$21),"")</f>
        <v/>
      </c>
      <c r="AE36" s="299"/>
      <c r="AF36" s="299" t="str">
        <f>IF(AND('Mapa final'!$L$23="Baja",'Mapa final'!$P$23="Mayor"),CONCATENATE("R",'Mapa final'!$A$23),"")</f>
        <v/>
      </c>
      <c r="AG36" s="300"/>
      <c r="AH36" s="289" t="e">
        <f>IF(AND('Mapa final'!#REF!="Baja",'Mapa final'!#REF!="Catastrófico"),CONCATENATE("R",'Mapa final'!#REF!),"")</f>
        <v>#REF!</v>
      </c>
      <c r="AI36" s="290"/>
      <c r="AJ36" s="290" t="str">
        <f>IF(AND('Mapa final'!$L$21="Baja",'Mapa final'!$P$21="Catastrófico"),CONCATENATE("R",'Mapa final'!$A$21),"")</f>
        <v/>
      </c>
      <c r="AK36" s="290"/>
      <c r="AL36" s="290" t="str">
        <f>IF(AND('Mapa final'!$L$23="Baja",'Mapa final'!$P$23="Catastrófico"),CONCATENATE("R",'Mapa final'!$A$23),"")</f>
        <v/>
      </c>
      <c r="AM36" s="291"/>
      <c r="AN36" s="75"/>
      <c r="AO36" s="350"/>
      <c r="AP36" s="351"/>
      <c r="AQ36" s="351"/>
      <c r="AR36" s="351"/>
      <c r="AS36" s="351"/>
      <c r="AT36" s="352"/>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318"/>
      <c r="C37" s="318"/>
      <c r="D37" s="319"/>
      <c r="E37" s="314"/>
      <c r="F37" s="315"/>
      <c r="G37" s="315"/>
      <c r="H37" s="315"/>
      <c r="I37" s="315"/>
      <c r="J37" s="274"/>
      <c r="K37" s="275"/>
      <c r="L37" s="275"/>
      <c r="M37" s="275"/>
      <c r="N37" s="275"/>
      <c r="O37" s="276"/>
      <c r="P37" s="284"/>
      <c r="Q37" s="284"/>
      <c r="R37" s="284"/>
      <c r="S37" s="284"/>
      <c r="T37" s="284"/>
      <c r="U37" s="285"/>
      <c r="V37" s="283"/>
      <c r="W37" s="284"/>
      <c r="X37" s="284"/>
      <c r="Y37" s="284"/>
      <c r="Z37" s="284"/>
      <c r="AA37" s="285"/>
      <c r="AB37" s="301"/>
      <c r="AC37" s="302"/>
      <c r="AD37" s="302"/>
      <c r="AE37" s="302"/>
      <c r="AF37" s="302"/>
      <c r="AG37" s="303"/>
      <c r="AH37" s="292"/>
      <c r="AI37" s="293"/>
      <c r="AJ37" s="293"/>
      <c r="AK37" s="293"/>
      <c r="AL37" s="293"/>
      <c r="AM37" s="294"/>
      <c r="AN37" s="75"/>
      <c r="AO37" s="353"/>
      <c r="AP37" s="354"/>
      <c r="AQ37" s="354"/>
      <c r="AR37" s="354"/>
      <c r="AS37" s="354"/>
      <c r="AT37" s="35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318"/>
      <c r="C38" s="318"/>
      <c r="D38" s="319"/>
      <c r="E38" s="308" t="s">
        <v>112</v>
      </c>
      <c r="F38" s="309"/>
      <c r="G38" s="309"/>
      <c r="H38" s="309"/>
      <c r="I38" s="310"/>
      <c r="J38" s="277" t="e">
        <f>IF(AND('Mapa final'!#REF!="Muy Baja",'Mapa final'!#REF!="Leve"),CONCATENATE("R",'Mapa final'!#REF!),"")</f>
        <v>#REF!</v>
      </c>
      <c r="K38" s="278"/>
      <c r="L38" s="278" t="str">
        <f>IF(AND('Mapa final'!$L$11="Muy Baja",'Mapa final'!$P$11="Leve"),CONCATENATE("R",'Mapa final'!$A$11),"")</f>
        <v/>
      </c>
      <c r="M38" s="278"/>
      <c r="N38" s="278" t="e">
        <f>IF(AND('Mapa final'!#REF!="Muy Baja",'Mapa final'!#REF!="Leve"),CONCATENATE("R",'Mapa final'!#REF!),"")</f>
        <v>#REF!</v>
      </c>
      <c r="O38" s="279"/>
      <c r="P38" s="277" t="e">
        <f>IF(AND('Mapa final'!#REF!="Muy Baja",'Mapa final'!#REF!="Menor"),CONCATENATE("R",'Mapa final'!#REF!),"")</f>
        <v>#REF!</v>
      </c>
      <c r="Q38" s="278"/>
      <c r="R38" s="278" t="str">
        <f>IF(AND('Mapa final'!$L$11="Muy Baja",'Mapa final'!$P$11="Menor"),CONCATENATE("R",'Mapa final'!$A$11),"")</f>
        <v/>
      </c>
      <c r="S38" s="278"/>
      <c r="T38" s="278" t="e">
        <f>IF(AND('Mapa final'!#REF!="Muy Baja",'Mapa final'!#REF!="Menor"),CONCATENATE("R",'Mapa final'!#REF!),"")</f>
        <v>#REF!</v>
      </c>
      <c r="U38" s="279"/>
      <c r="V38" s="286" t="e">
        <f>IF(AND('Mapa final'!#REF!="Muy Baja",'Mapa final'!#REF!="Moderado"),CONCATENATE("R",'Mapa final'!#REF!),"")</f>
        <v>#REF!</v>
      </c>
      <c r="W38" s="287"/>
      <c r="X38" s="287" t="str">
        <f>IF(AND('Mapa final'!$L$11="Muy Baja",'Mapa final'!$P$11="Moderado"),CONCATENATE("R",'Mapa final'!$A$11),"")</f>
        <v/>
      </c>
      <c r="Y38" s="287"/>
      <c r="Z38" s="287" t="e">
        <f>IF(AND('Mapa final'!#REF!="Muy Baja",'Mapa final'!#REF!="Moderado"),CONCATENATE("R",'Mapa final'!#REF!),"")</f>
        <v>#REF!</v>
      </c>
      <c r="AA38" s="288"/>
      <c r="AB38" s="304" t="e">
        <f>IF(AND('Mapa final'!#REF!="Muy Baja",'Mapa final'!#REF!="Mayor"),CONCATENATE("R",'Mapa final'!#REF!),"")</f>
        <v>#REF!</v>
      </c>
      <c r="AC38" s="305"/>
      <c r="AD38" s="305" t="str">
        <f>IF(AND('Mapa final'!$L$11="Muy Baja",'Mapa final'!$P$11="Mayor"),CONCATENATE("R",'Mapa final'!$A$11),"")</f>
        <v/>
      </c>
      <c r="AE38" s="305"/>
      <c r="AF38" s="305" t="e">
        <f>IF(AND('Mapa final'!#REF!="Muy Baja",'Mapa final'!#REF!="Mayor"),CONCATENATE("R",'Mapa final'!#REF!),"")</f>
        <v>#REF!</v>
      </c>
      <c r="AG38" s="306"/>
      <c r="AH38" s="295" t="e">
        <f>IF(AND('Mapa final'!#REF!="Muy Baja",'Mapa final'!#REF!="Catastrófico"),CONCATENATE("R",'Mapa final'!#REF!),"")</f>
        <v>#REF!</v>
      </c>
      <c r="AI38" s="296"/>
      <c r="AJ38" s="296" t="str">
        <f>IF(AND('Mapa final'!$L$11="Muy Baja",'Mapa final'!$P$11="Catastrófico"),CONCATENATE("R",'Mapa final'!$A$11),"")</f>
        <v/>
      </c>
      <c r="AK38" s="296"/>
      <c r="AL38" s="296" t="e">
        <f>IF(AND('Mapa final'!#REF!="Muy Baja",'Mapa final'!#REF!="Catastrófico"),CONCATENATE("R",'Mapa final'!#REF!),"")</f>
        <v>#REF!</v>
      </c>
      <c r="AM38" s="297"/>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318"/>
      <c r="C39" s="318"/>
      <c r="D39" s="319"/>
      <c r="E39" s="311"/>
      <c r="F39" s="312"/>
      <c r="G39" s="312"/>
      <c r="H39" s="312"/>
      <c r="I39" s="313"/>
      <c r="J39" s="271"/>
      <c r="K39" s="272"/>
      <c r="L39" s="272"/>
      <c r="M39" s="272"/>
      <c r="N39" s="272"/>
      <c r="O39" s="273"/>
      <c r="P39" s="271"/>
      <c r="Q39" s="272"/>
      <c r="R39" s="272"/>
      <c r="S39" s="272"/>
      <c r="T39" s="272"/>
      <c r="U39" s="273"/>
      <c r="V39" s="280"/>
      <c r="W39" s="281"/>
      <c r="X39" s="281"/>
      <c r="Y39" s="281"/>
      <c r="Z39" s="281"/>
      <c r="AA39" s="282"/>
      <c r="AB39" s="298"/>
      <c r="AC39" s="299"/>
      <c r="AD39" s="299"/>
      <c r="AE39" s="299"/>
      <c r="AF39" s="299"/>
      <c r="AG39" s="300"/>
      <c r="AH39" s="289"/>
      <c r="AI39" s="290"/>
      <c r="AJ39" s="290"/>
      <c r="AK39" s="290"/>
      <c r="AL39" s="290"/>
      <c r="AM39" s="291"/>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318"/>
      <c r="C40" s="318"/>
      <c r="D40" s="319"/>
      <c r="E40" s="311"/>
      <c r="F40" s="312"/>
      <c r="G40" s="312"/>
      <c r="H40" s="312"/>
      <c r="I40" s="313"/>
      <c r="J40" s="271" t="e">
        <f>IF(AND('Mapa final'!#REF!="Muy Baja",'Mapa final'!#REF!="Leve"),CONCATENATE("R",'Mapa final'!#REF!),"")</f>
        <v>#REF!</v>
      </c>
      <c r="K40" s="272"/>
      <c r="L40" s="272" t="e">
        <f>IF(AND('Mapa final'!#REF!="Muy Baja",'Mapa final'!#REF!="Leve"),CONCATENATE("R",'Mapa final'!#REF!),"")</f>
        <v>#REF!</v>
      </c>
      <c r="M40" s="272"/>
      <c r="N40" s="272" t="e">
        <f>IF(AND('Mapa final'!#REF!="Muy Baja",'Mapa final'!#REF!="Leve"),CONCATENATE("R",'Mapa final'!#REF!),"")</f>
        <v>#REF!</v>
      </c>
      <c r="O40" s="273"/>
      <c r="P40" s="271" t="e">
        <f>IF(AND('Mapa final'!#REF!="Muy Baja",'Mapa final'!#REF!="Menor"),CONCATENATE("R",'Mapa final'!#REF!),"")</f>
        <v>#REF!</v>
      </c>
      <c r="Q40" s="272"/>
      <c r="R40" s="272" t="e">
        <f>IF(AND('Mapa final'!#REF!="Muy Baja",'Mapa final'!#REF!="Menor"),CONCATENATE("R",'Mapa final'!#REF!),"")</f>
        <v>#REF!</v>
      </c>
      <c r="S40" s="272"/>
      <c r="T40" s="272" t="e">
        <f>IF(AND('Mapa final'!#REF!="Muy Baja",'Mapa final'!#REF!="Menor"),CONCATENATE("R",'Mapa final'!#REF!),"")</f>
        <v>#REF!</v>
      </c>
      <c r="U40" s="273"/>
      <c r="V40" s="280" t="e">
        <f>IF(AND('Mapa final'!#REF!="Muy Baja",'Mapa final'!#REF!="Moderado"),CONCATENATE("R",'Mapa final'!#REF!),"")</f>
        <v>#REF!</v>
      </c>
      <c r="W40" s="281"/>
      <c r="X40" s="281" t="e">
        <f>IF(AND('Mapa final'!#REF!="Muy Baja",'Mapa final'!#REF!="Moderado"),CONCATENATE("R",'Mapa final'!#REF!),"")</f>
        <v>#REF!</v>
      </c>
      <c r="Y40" s="281"/>
      <c r="Z40" s="281" t="e">
        <f>IF(AND('Mapa final'!#REF!="Muy Baja",'Mapa final'!#REF!="Moderado"),CONCATENATE("R",'Mapa final'!#REF!),"")</f>
        <v>#REF!</v>
      </c>
      <c r="AA40" s="282"/>
      <c r="AB40" s="298" t="e">
        <f>IF(AND('Mapa final'!#REF!="Muy Baja",'Mapa final'!#REF!="Mayor"),CONCATENATE("R",'Mapa final'!#REF!),"")</f>
        <v>#REF!</v>
      </c>
      <c r="AC40" s="299"/>
      <c r="AD40" s="299" t="e">
        <f>IF(AND('Mapa final'!#REF!="Muy Baja",'Mapa final'!#REF!="Mayor"),CONCATENATE("R",'Mapa final'!#REF!),"")</f>
        <v>#REF!</v>
      </c>
      <c r="AE40" s="299"/>
      <c r="AF40" s="299" t="e">
        <f>IF(AND('Mapa final'!#REF!="Muy Baja",'Mapa final'!#REF!="Mayor"),CONCATENATE("R",'Mapa final'!#REF!),"")</f>
        <v>#REF!</v>
      </c>
      <c r="AG40" s="300"/>
      <c r="AH40" s="289" t="e">
        <f>IF(AND('Mapa final'!#REF!="Muy Baja",'Mapa final'!#REF!="Catastrófico"),CONCATENATE("R",'Mapa final'!#REF!),"")</f>
        <v>#REF!</v>
      </c>
      <c r="AI40" s="290"/>
      <c r="AJ40" s="290" t="e">
        <f>IF(AND('Mapa final'!#REF!="Muy Baja",'Mapa final'!#REF!="Catastrófico"),CONCATENATE("R",'Mapa final'!#REF!),"")</f>
        <v>#REF!</v>
      </c>
      <c r="AK40" s="290"/>
      <c r="AL40" s="290" t="e">
        <f>IF(AND('Mapa final'!#REF!="Muy Baja",'Mapa final'!#REF!="Catastrófico"),CONCATENATE("R",'Mapa final'!#REF!),"")</f>
        <v>#REF!</v>
      </c>
      <c r="AM40" s="291"/>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318"/>
      <c r="C41" s="318"/>
      <c r="D41" s="319"/>
      <c r="E41" s="311"/>
      <c r="F41" s="312"/>
      <c r="G41" s="312"/>
      <c r="H41" s="312"/>
      <c r="I41" s="313"/>
      <c r="J41" s="271"/>
      <c r="K41" s="272"/>
      <c r="L41" s="272"/>
      <c r="M41" s="272"/>
      <c r="N41" s="272"/>
      <c r="O41" s="273"/>
      <c r="P41" s="271"/>
      <c r="Q41" s="272"/>
      <c r="R41" s="272"/>
      <c r="S41" s="272"/>
      <c r="T41" s="272"/>
      <c r="U41" s="273"/>
      <c r="V41" s="280"/>
      <c r="W41" s="281"/>
      <c r="X41" s="281"/>
      <c r="Y41" s="281"/>
      <c r="Z41" s="281"/>
      <c r="AA41" s="282"/>
      <c r="AB41" s="298"/>
      <c r="AC41" s="299"/>
      <c r="AD41" s="299"/>
      <c r="AE41" s="299"/>
      <c r="AF41" s="299"/>
      <c r="AG41" s="300"/>
      <c r="AH41" s="289"/>
      <c r="AI41" s="290"/>
      <c r="AJ41" s="290"/>
      <c r="AK41" s="290"/>
      <c r="AL41" s="290"/>
      <c r="AM41" s="291"/>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318"/>
      <c r="C42" s="318"/>
      <c r="D42" s="319"/>
      <c r="E42" s="311"/>
      <c r="F42" s="312"/>
      <c r="G42" s="312"/>
      <c r="H42" s="312"/>
      <c r="I42" s="313"/>
      <c r="J42" s="271" t="e">
        <f>IF(AND('Mapa final'!#REF!="Muy Baja",'Mapa final'!#REF!="Leve"),CONCATENATE("R",'Mapa final'!#REF!),"")</f>
        <v>#REF!</v>
      </c>
      <c r="K42" s="272"/>
      <c r="L42" s="272" t="e">
        <f>IF(AND('Mapa final'!#REF!="Muy Baja",'Mapa final'!#REF!="Leve"),CONCATENATE("R",'Mapa final'!#REF!),"")</f>
        <v>#REF!</v>
      </c>
      <c r="M42" s="272"/>
      <c r="N42" s="272" t="e">
        <f>IF(AND('Mapa final'!#REF!="Muy Baja",'Mapa final'!#REF!="Leve"),CONCATENATE("R",'Mapa final'!#REF!),"")</f>
        <v>#REF!</v>
      </c>
      <c r="O42" s="273"/>
      <c r="P42" s="271" t="e">
        <f>IF(AND('Mapa final'!#REF!="Muy Baja",'Mapa final'!#REF!="Menor"),CONCATENATE("R",'Mapa final'!#REF!),"")</f>
        <v>#REF!</v>
      </c>
      <c r="Q42" s="272"/>
      <c r="R42" s="272" t="e">
        <f>IF(AND('Mapa final'!#REF!="Muy Baja",'Mapa final'!#REF!="Menor"),CONCATENATE("R",'Mapa final'!#REF!),"")</f>
        <v>#REF!</v>
      </c>
      <c r="S42" s="272"/>
      <c r="T42" s="272" t="e">
        <f>IF(AND('Mapa final'!#REF!="Muy Baja",'Mapa final'!#REF!="Menor"),CONCATENATE("R",'Mapa final'!#REF!),"")</f>
        <v>#REF!</v>
      </c>
      <c r="U42" s="273"/>
      <c r="V42" s="280" t="e">
        <f>IF(AND('Mapa final'!#REF!="Muy Baja",'Mapa final'!#REF!="Moderado"),CONCATENATE("R",'Mapa final'!#REF!),"")</f>
        <v>#REF!</v>
      </c>
      <c r="W42" s="281"/>
      <c r="X42" s="281" t="e">
        <f>IF(AND('Mapa final'!#REF!="Muy Baja",'Mapa final'!#REF!="Moderado"),CONCATENATE("R",'Mapa final'!#REF!),"")</f>
        <v>#REF!</v>
      </c>
      <c r="Y42" s="281"/>
      <c r="Z42" s="281" t="e">
        <f>IF(AND('Mapa final'!#REF!="Muy Baja",'Mapa final'!#REF!="Moderado"),CONCATENATE("R",'Mapa final'!#REF!),"")</f>
        <v>#REF!</v>
      </c>
      <c r="AA42" s="282"/>
      <c r="AB42" s="298" t="e">
        <f>IF(AND('Mapa final'!#REF!="Muy Baja",'Mapa final'!#REF!="Mayor"),CONCATENATE("R",'Mapa final'!#REF!),"")</f>
        <v>#REF!</v>
      </c>
      <c r="AC42" s="299"/>
      <c r="AD42" s="299" t="e">
        <f>IF(AND('Mapa final'!#REF!="Muy Baja",'Mapa final'!#REF!="Mayor"),CONCATENATE("R",'Mapa final'!#REF!),"")</f>
        <v>#REF!</v>
      </c>
      <c r="AE42" s="299"/>
      <c r="AF42" s="299" t="e">
        <f>IF(AND('Mapa final'!#REF!="Muy Baja",'Mapa final'!#REF!="Mayor"),CONCATENATE("R",'Mapa final'!#REF!),"")</f>
        <v>#REF!</v>
      </c>
      <c r="AG42" s="300"/>
      <c r="AH42" s="289" t="e">
        <f>IF(AND('Mapa final'!#REF!="Muy Baja",'Mapa final'!#REF!="Catastrófico"),CONCATENATE("R",'Mapa final'!#REF!),"")</f>
        <v>#REF!</v>
      </c>
      <c r="AI42" s="290"/>
      <c r="AJ42" s="290" t="e">
        <f>IF(AND('Mapa final'!#REF!="Muy Baja",'Mapa final'!#REF!="Catastrófico"),CONCATENATE("R",'Mapa final'!#REF!),"")</f>
        <v>#REF!</v>
      </c>
      <c r="AK42" s="290"/>
      <c r="AL42" s="290" t="e">
        <f>IF(AND('Mapa final'!#REF!="Muy Baja",'Mapa final'!#REF!="Catastrófico"),CONCATENATE("R",'Mapa final'!#REF!),"")</f>
        <v>#REF!</v>
      </c>
      <c r="AM42" s="291"/>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318"/>
      <c r="C43" s="318"/>
      <c r="D43" s="319"/>
      <c r="E43" s="311"/>
      <c r="F43" s="312"/>
      <c r="G43" s="312"/>
      <c r="H43" s="312"/>
      <c r="I43" s="313"/>
      <c r="J43" s="271"/>
      <c r="K43" s="272"/>
      <c r="L43" s="272"/>
      <c r="M43" s="272"/>
      <c r="N43" s="272"/>
      <c r="O43" s="273"/>
      <c r="P43" s="271"/>
      <c r="Q43" s="272"/>
      <c r="R43" s="272"/>
      <c r="S43" s="272"/>
      <c r="T43" s="272"/>
      <c r="U43" s="273"/>
      <c r="V43" s="280"/>
      <c r="W43" s="281"/>
      <c r="X43" s="281"/>
      <c r="Y43" s="281"/>
      <c r="Z43" s="281"/>
      <c r="AA43" s="282"/>
      <c r="AB43" s="298"/>
      <c r="AC43" s="299"/>
      <c r="AD43" s="299"/>
      <c r="AE43" s="299"/>
      <c r="AF43" s="299"/>
      <c r="AG43" s="300"/>
      <c r="AH43" s="289"/>
      <c r="AI43" s="290"/>
      <c r="AJ43" s="290"/>
      <c r="AK43" s="290"/>
      <c r="AL43" s="290"/>
      <c r="AM43" s="291"/>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318"/>
      <c r="C44" s="318"/>
      <c r="D44" s="319"/>
      <c r="E44" s="311"/>
      <c r="F44" s="312"/>
      <c r="G44" s="312"/>
      <c r="H44" s="312"/>
      <c r="I44" s="313"/>
      <c r="J44" s="271" t="e">
        <f>IF(AND('Mapa final'!#REF!="Muy Baja",'Mapa final'!#REF!="Leve"),CONCATENATE("R",'Mapa final'!#REF!),"")</f>
        <v>#REF!</v>
      </c>
      <c r="K44" s="272"/>
      <c r="L44" s="272" t="str">
        <f>IF(AND('Mapa final'!$L$21="Muy Baja",'Mapa final'!$P$21="Leve"),CONCATENATE("R",'Mapa final'!$A$21),"")</f>
        <v/>
      </c>
      <c r="M44" s="272"/>
      <c r="N44" s="272" t="str">
        <f>IF(AND('Mapa final'!$L$23="Muy Baja",'Mapa final'!$P$23="Leve"),CONCATENATE("R",'Mapa final'!$A$23),"")</f>
        <v/>
      </c>
      <c r="O44" s="273"/>
      <c r="P44" s="271" t="e">
        <f>IF(AND('Mapa final'!#REF!="Muy Baja",'Mapa final'!#REF!="Menor"),CONCATENATE("R",'Mapa final'!#REF!),"")</f>
        <v>#REF!</v>
      </c>
      <c r="Q44" s="272"/>
      <c r="R44" s="272" t="str">
        <f>IF(AND('Mapa final'!$L$21="Muy Baja",'Mapa final'!$P$21="Menor"),CONCATENATE("R",'Mapa final'!$A$21),"")</f>
        <v/>
      </c>
      <c r="S44" s="272"/>
      <c r="T44" s="272" t="str">
        <f>IF(AND('Mapa final'!$L$23="Muy Baja",'Mapa final'!$P$23="Menor"),CONCATENATE("R",'Mapa final'!$A$23),"")</f>
        <v/>
      </c>
      <c r="U44" s="273"/>
      <c r="V44" s="280" t="e">
        <f>IF(AND('Mapa final'!#REF!="Muy Baja",'Mapa final'!#REF!="Moderado"),CONCATENATE("R",'Mapa final'!#REF!),"")</f>
        <v>#REF!</v>
      </c>
      <c r="W44" s="281"/>
      <c r="X44" s="281" t="str">
        <f>IF(AND('Mapa final'!$L$21="Muy Baja",'Mapa final'!$P$21="Moderado"),CONCATENATE("R",'Mapa final'!$A$21),"")</f>
        <v/>
      </c>
      <c r="Y44" s="281"/>
      <c r="Z44" s="281" t="str">
        <f>IF(AND('Mapa final'!$L$23="Muy Baja",'Mapa final'!$P$23="Moderado"),CONCATENATE("R",'Mapa final'!$A$23),"")</f>
        <v/>
      </c>
      <c r="AA44" s="282"/>
      <c r="AB44" s="298" t="e">
        <f>IF(AND('Mapa final'!#REF!="Muy Baja",'Mapa final'!#REF!="Mayor"),CONCATENATE("R",'Mapa final'!#REF!),"")</f>
        <v>#REF!</v>
      </c>
      <c r="AC44" s="299"/>
      <c r="AD44" s="299" t="str">
        <f>IF(AND('Mapa final'!$L$21="Muy Baja",'Mapa final'!$P$21="Mayor"),CONCATENATE("R",'Mapa final'!$A$21),"")</f>
        <v/>
      </c>
      <c r="AE44" s="299"/>
      <c r="AF44" s="299" t="str">
        <f>IF(AND('Mapa final'!$L$23="Muy Baja",'Mapa final'!$P$23="Mayor"),CONCATENATE("R",'Mapa final'!$A$23),"")</f>
        <v/>
      </c>
      <c r="AG44" s="300"/>
      <c r="AH44" s="289" t="e">
        <f>IF(AND('Mapa final'!#REF!="Muy Baja",'Mapa final'!#REF!="Catastrófico"),CONCATENATE("R",'Mapa final'!#REF!),"")</f>
        <v>#REF!</v>
      </c>
      <c r="AI44" s="290"/>
      <c r="AJ44" s="290" t="str">
        <f>IF(AND('Mapa final'!$L$21="Muy Baja",'Mapa final'!$P$21="Catastrófico"),CONCATENATE("R",'Mapa final'!$A$21),"")</f>
        <v/>
      </c>
      <c r="AK44" s="290"/>
      <c r="AL44" s="290" t="str">
        <f>IF(AND('Mapa final'!$L$23="Muy Baja",'Mapa final'!$P$23="Catastrófico"),CONCATENATE("R",'Mapa final'!$A$23),"")</f>
        <v/>
      </c>
      <c r="AM44" s="291"/>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318"/>
      <c r="C45" s="318"/>
      <c r="D45" s="319"/>
      <c r="E45" s="314"/>
      <c r="F45" s="315"/>
      <c r="G45" s="315"/>
      <c r="H45" s="315"/>
      <c r="I45" s="316"/>
      <c r="J45" s="274"/>
      <c r="K45" s="275"/>
      <c r="L45" s="275"/>
      <c r="M45" s="275"/>
      <c r="N45" s="275"/>
      <c r="O45" s="276"/>
      <c r="P45" s="274"/>
      <c r="Q45" s="275"/>
      <c r="R45" s="275"/>
      <c r="S45" s="275"/>
      <c r="T45" s="275"/>
      <c r="U45" s="276"/>
      <c r="V45" s="283"/>
      <c r="W45" s="284"/>
      <c r="X45" s="284"/>
      <c r="Y45" s="284"/>
      <c r="Z45" s="284"/>
      <c r="AA45" s="285"/>
      <c r="AB45" s="301"/>
      <c r="AC45" s="302"/>
      <c r="AD45" s="302"/>
      <c r="AE45" s="302"/>
      <c r="AF45" s="302"/>
      <c r="AG45" s="303"/>
      <c r="AH45" s="292"/>
      <c r="AI45" s="293"/>
      <c r="AJ45" s="293"/>
      <c r="AK45" s="293"/>
      <c r="AL45" s="293"/>
      <c r="AM45" s="294"/>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308" t="s">
        <v>111</v>
      </c>
      <c r="K46" s="309"/>
      <c r="L46" s="309"/>
      <c r="M46" s="309"/>
      <c r="N46" s="309"/>
      <c r="O46" s="310"/>
      <c r="P46" s="308" t="s">
        <v>110</v>
      </c>
      <c r="Q46" s="309"/>
      <c r="R46" s="309"/>
      <c r="S46" s="309"/>
      <c r="T46" s="309"/>
      <c r="U46" s="310"/>
      <c r="V46" s="308" t="s">
        <v>109</v>
      </c>
      <c r="W46" s="309"/>
      <c r="X46" s="309"/>
      <c r="Y46" s="309"/>
      <c r="Z46" s="309"/>
      <c r="AA46" s="310"/>
      <c r="AB46" s="308" t="s">
        <v>108</v>
      </c>
      <c r="AC46" s="317"/>
      <c r="AD46" s="309"/>
      <c r="AE46" s="309"/>
      <c r="AF46" s="309"/>
      <c r="AG46" s="310"/>
      <c r="AH46" s="308" t="s">
        <v>107</v>
      </c>
      <c r="AI46" s="309"/>
      <c r="AJ46" s="309"/>
      <c r="AK46" s="309"/>
      <c r="AL46" s="309"/>
      <c r="AM46" s="310"/>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311"/>
      <c r="K47" s="312"/>
      <c r="L47" s="312"/>
      <c r="M47" s="312"/>
      <c r="N47" s="312"/>
      <c r="O47" s="313"/>
      <c r="P47" s="311"/>
      <c r="Q47" s="312"/>
      <c r="R47" s="312"/>
      <c r="S47" s="312"/>
      <c r="T47" s="312"/>
      <c r="U47" s="313"/>
      <c r="V47" s="311"/>
      <c r="W47" s="312"/>
      <c r="X47" s="312"/>
      <c r="Y47" s="312"/>
      <c r="Z47" s="312"/>
      <c r="AA47" s="313"/>
      <c r="AB47" s="311"/>
      <c r="AC47" s="312"/>
      <c r="AD47" s="312"/>
      <c r="AE47" s="312"/>
      <c r="AF47" s="312"/>
      <c r="AG47" s="313"/>
      <c r="AH47" s="311"/>
      <c r="AI47" s="312"/>
      <c r="AJ47" s="312"/>
      <c r="AK47" s="312"/>
      <c r="AL47" s="312"/>
      <c r="AM47" s="313"/>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311"/>
      <c r="K48" s="312"/>
      <c r="L48" s="312"/>
      <c r="M48" s="312"/>
      <c r="N48" s="312"/>
      <c r="O48" s="313"/>
      <c r="P48" s="311"/>
      <c r="Q48" s="312"/>
      <c r="R48" s="312"/>
      <c r="S48" s="312"/>
      <c r="T48" s="312"/>
      <c r="U48" s="313"/>
      <c r="V48" s="311"/>
      <c r="W48" s="312"/>
      <c r="X48" s="312"/>
      <c r="Y48" s="312"/>
      <c r="Z48" s="312"/>
      <c r="AA48" s="313"/>
      <c r="AB48" s="311"/>
      <c r="AC48" s="312"/>
      <c r="AD48" s="312"/>
      <c r="AE48" s="312"/>
      <c r="AF48" s="312"/>
      <c r="AG48" s="313"/>
      <c r="AH48" s="311"/>
      <c r="AI48" s="312"/>
      <c r="AJ48" s="312"/>
      <c r="AK48" s="312"/>
      <c r="AL48" s="312"/>
      <c r="AM48" s="313"/>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311"/>
      <c r="K49" s="312"/>
      <c r="L49" s="312"/>
      <c r="M49" s="312"/>
      <c r="N49" s="312"/>
      <c r="O49" s="313"/>
      <c r="P49" s="311"/>
      <c r="Q49" s="312"/>
      <c r="R49" s="312"/>
      <c r="S49" s="312"/>
      <c r="T49" s="312"/>
      <c r="U49" s="313"/>
      <c r="V49" s="311"/>
      <c r="W49" s="312"/>
      <c r="X49" s="312"/>
      <c r="Y49" s="312"/>
      <c r="Z49" s="312"/>
      <c r="AA49" s="313"/>
      <c r="AB49" s="311"/>
      <c r="AC49" s="312"/>
      <c r="AD49" s="312"/>
      <c r="AE49" s="312"/>
      <c r="AF49" s="312"/>
      <c r="AG49" s="313"/>
      <c r="AH49" s="311"/>
      <c r="AI49" s="312"/>
      <c r="AJ49" s="312"/>
      <c r="AK49" s="312"/>
      <c r="AL49" s="312"/>
      <c r="AM49" s="313"/>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311"/>
      <c r="K50" s="312"/>
      <c r="L50" s="312"/>
      <c r="M50" s="312"/>
      <c r="N50" s="312"/>
      <c r="O50" s="313"/>
      <c r="P50" s="311"/>
      <c r="Q50" s="312"/>
      <c r="R50" s="312"/>
      <c r="S50" s="312"/>
      <c r="T50" s="312"/>
      <c r="U50" s="313"/>
      <c r="V50" s="311"/>
      <c r="W50" s="312"/>
      <c r="X50" s="312"/>
      <c r="Y50" s="312"/>
      <c r="Z50" s="312"/>
      <c r="AA50" s="313"/>
      <c r="AB50" s="311"/>
      <c r="AC50" s="312"/>
      <c r="AD50" s="312"/>
      <c r="AE50" s="312"/>
      <c r="AF50" s="312"/>
      <c r="AG50" s="313"/>
      <c r="AH50" s="311"/>
      <c r="AI50" s="312"/>
      <c r="AJ50" s="312"/>
      <c r="AK50" s="312"/>
      <c r="AL50" s="312"/>
      <c r="AM50" s="313"/>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314"/>
      <c r="K51" s="315"/>
      <c r="L51" s="315"/>
      <c r="M51" s="315"/>
      <c r="N51" s="315"/>
      <c r="O51" s="316"/>
      <c r="P51" s="314"/>
      <c r="Q51" s="315"/>
      <c r="R51" s="315"/>
      <c r="S51" s="315"/>
      <c r="T51" s="315"/>
      <c r="U51" s="316"/>
      <c r="V51" s="314"/>
      <c r="W51" s="315"/>
      <c r="X51" s="315"/>
      <c r="Y51" s="315"/>
      <c r="Z51" s="315"/>
      <c r="AA51" s="316"/>
      <c r="AB51" s="314"/>
      <c r="AC51" s="315"/>
      <c r="AD51" s="315"/>
      <c r="AE51" s="315"/>
      <c r="AF51" s="315"/>
      <c r="AG51" s="316"/>
      <c r="AH51" s="314"/>
      <c r="AI51" s="315"/>
      <c r="AJ51" s="315"/>
      <c r="AK51" s="315"/>
      <c r="AL51" s="315"/>
      <c r="AM51" s="316"/>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85" t="s">
        <v>157</v>
      </c>
      <c r="C2" s="386"/>
      <c r="D2" s="386"/>
      <c r="E2" s="386"/>
      <c r="F2" s="386"/>
      <c r="G2" s="386"/>
      <c r="H2" s="386"/>
      <c r="I2" s="386"/>
      <c r="J2" s="307" t="s">
        <v>2</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86"/>
      <c r="C3" s="386"/>
      <c r="D3" s="386"/>
      <c r="E3" s="386"/>
      <c r="F3" s="386"/>
      <c r="G3" s="386"/>
      <c r="H3" s="386"/>
      <c r="I3" s="386"/>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86"/>
      <c r="C4" s="386"/>
      <c r="D4" s="386"/>
      <c r="E4" s="386"/>
      <c r="F4" s="386"/>
      <c r="G4" s="386"/>
      <c r="H4" s="386"/>
      <c r="I4" s="386"/>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318" t="s">
        <v>4</v>
      </c>
      <c r="C6" s="318"/>
      <c r="D6" s="319"/>
      <c r="E6" s="356" t="s">
        <v>115</v>
      </c>
      <c r="F6" s="357"/>
      <c r="G6" s="357"/>
      <c r="H6" s="357"/>
      <c r="I6" s="358"/>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76" t="s">
        <v>78</v>
      </c>
      <c r="AP6" s="377"/>
      <c r="AQ6" s="377"/>
      <c r="AR6" s="377"/>
      <c r="AS6" s="377"/>
      <c r="AT6" s="378"/>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318"/>
      <c r="C7" s="318"/>
      <c r="D7" s="319"/>
      <c r="E7" s="359"/>
      <c r="F7" s="360"/>
      <c r="G7" s="360"/>
      <c r="H7" s="360"/>
      <c r="I7" s="361"/>
      <c r="J7" s="44" t="str">
        <f>IF(AND('Mapa final'!$AD$11="Muy Alta",'Mapa final'!$AF$11="Leve"),CONCATENATE("R2C",'Mapa final'!$S$11),"")</f>
        <v/>
      </c>
      <c r="K7" s="45" t="str">
        <f>IF(AND('Mapa final'!$AD$12="Muy Alta",'Mapa final'!$AF$12="Leve"),CONCATENATE("R2C",'Mapa final'!$S$12),"")</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final'!$AD$12="Muy Alta",'Mapa final'!$AF$12="Menor"),CONCATENATE("R2C",'Mapa final'!$S$12),"")</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final'!$AD$12="Muy Alta",'Mapa final'!$AF$12="Moderado"),CONCATENATE("R2C",'Mapa final'!$S$12),"")</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final'!$AD$12="Muy Alta",'Mapa final'!$AF$12="Mayor"),CONCATENATE("R2C",'Mapa final'!$S$12),"")</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final'!$AD$12="Muy Alta",'Mapa final'!$AF$12="Catastrófico"),CONCATENATE("R2C",'Mapa final'!$S$12),"")</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79"/>
      <c r="AP7" s="380"/>
      <c r="AQ7" s="380"/>
      <c r="AR7" s="380"/>
      <c r="AS7" s="380"/>
      <c r="AT7" s="381"/>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318"/>
      <c r="C8" s="318"/>
      <c r="D8" s="319"/>
      <c r="E8" s="359"/>
      <c r="F8" s="360"/>
      <c r="G8" s="360"/>
      <c r="H8" s="360"/>
      <c r="I8" s="361"/>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79"/>
      <c r="AP8" s="380"/>
      <c r="AQ8" s="380"/>
      <c r="AR8" s="380"/>
      <c r="AS8" s="380"/>
      <c r="AT8" s="381"/>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318"/>
      <c r="C9" s="318"/>
      <c r="D9" s="319"/>
      <c r="E9" s="359"/>
      <c r="F9" s="360"/>
      <c r="G9" s="360"/>
      <c r="H9" s="360"/>
      <c r="I9" s="361"/>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79"/>
      <c r="AP9" s="380"/>
      <c r="AQ9" s="380"/>
      <c r="AR9" s="380"/>
      <c r="AS9" s="380"/>
      <c r="AT9" s="381"/>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318"/>
      <c r="C10" s="318"/>
      <c r="D10" s="319"/>
      <c r="E10" s="359"/>
      <c r="F10" s="360"/>
      <c r="G10" s="360"/>
      <c r="H10" s="360"/>
      <c r="I10" s="361"/>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79"/>
      <c r="AP10" s="380"/>
      <c r="AQ10" s="380"/>
      <c r="AR10" s="380"/>
      <c r="AS10" s="380"/>
      <c r="AT10" s="381"/>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318"/>
      <c r="C11" s="318"/>
      <c r="D11" s="319"/>
      <c r="E11" s="359"/>
      <c r="F11" s="360"/>
      <c r="G11" s="360"/>
      <c r="H11" s="360"/>
      <c r="I11" s="361"/>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79"/>
      <c r="AP11" s="380"/>
      <c r="AQ11" s="380"/>
      <c r="AR11" s="380"/>
      <c r="AS11" s="380"/>
      <c r="AT11" s="381"/>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318"/>
      <c r="C12" s="318"/>
      <c r="D12" s="319"/>
      <c r="E12" s="359"/>
      <c r="F12" s="360"/>
      <c r="G12" s="360"/>
      <c r="H12" s="360"/>
      <c r="I12" s="361"/>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79"/>
      <c r="AP12" s="380"/>
      <c r="AQ12" s="380"/>
      <c r="AR12" s="380"/>
      <c r="AS12" s="380"/>
      <c r="AT12" s="381"/>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318"/>
      <c r="C13" s="318"/>
      <c r="D13" s="319"/>
      <c r="E13" s="359"/>
      <c r="F13" s="360"/>
      <c r="G13" s="360"/>
      <c r="H13" s="360"/>
      <c r="I13" s="361"/>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79"/>
      <c r="AP13" s="380"/>
      <c r="AQ13" s="380"/>
      <c r="AR13" s="380"/>
      <c r="AS13" s="380"/>
      <c r="AT13" s="381"/>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318"/>
      <c r="C14" s="318"/>
      <c r="D14" s="319"/>
      <c r="E14" s="359"/>
      <c r="F14" s="360"/>
      <c r="G14" s="360"/>
      <c r="H14" s="360"/>
      <c r="I14" s="361"/>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79"/>
      <c r="AP14" s="380"/>
      <c r="AQ14" s="380"/>
      <c r="AR14" s="380"/>
      <c r="AS14" s="380"/>
      <c r="AT14" s="381"/>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318"/>
      <c r="C15" s="318"/>
      <c r="D15" s="319"/>
      <c r="E15" s="362"/>
      <c r="F15" s="363"/>
      <c r="G15" s="363"/>
      <c r="H15" s="363"/>
      <c r="I15" s="364"/>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82"/>
      <c r="AP15" s="383"/>
      <c r="AQ15" s="383"/>
      <c r="AR15" s="383"/>
      <c r="AS15" s="383"/>
      <c r="AT15" s="384"/>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318"/>
      <c r="C16" s="318"/>
      <c r="D16" s="319"/>
      <c r="E16" s="356" t="s">
        <v>114</v>
      </c>
      <c r="F16" s="357"/>
      <c r="G16" s="357"/>
      <c r="H16" s="357"/>
      <c r="I16" s="357"/>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66" t="s">
        <v>79</v>
      </c>
      <c r="AP16" s="367"/>
      <c r="AQ16" s="367"/>
      <c r="AR16" s="367"/>
      <c r="AS16" s="367"/>
      <c r="AT16" s="368"/>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318"/>
      <c r="C17" s="318"/>
      <c r="D17" s="319"/>
      <c r="E17" s="375"/>
      <c r="F17" s="360"/>
      <c r="G17" s="360"/>
      <c r="H17" s="360"/>
      <c r="I17" s="360"/>
      <c r="J17" s="59" t="str">
        <f>IF(AND('Mapa final'!$AD$11="Alta",'Mapa final'!$AF$11="Leve"),CONCATENATE("R2C",'Mapa final'!$S$11),"")</f>
        <v/>
      </c>
      <c r="K17" s="60" t="str">
        <f>IF(AND('Mapa final'!$AD$12="Alta",'Mapa final'!$AF$12="Leve"),CONCATENATE("R2C",'Mapa final'!$S$12),"")</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final'!$AD$12="Alta",'Mapa final'!$AF$12="Menor"),CONCATENATE("R2C",'Mapa final'!$S$12),"")</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final'!$AD$12="Alta",'Mapa final'!$AF$12="Moderado"),CONCATENATE("R2C",'Mapa final'!$S$12),"")</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final'!$AD$12="Alta",'Mapa final'!$AF$12="Mayor"),CONCATENATE("R2C",'Mapa final'!$S$12),"")</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final'!$AD$12="Alta",'Mapa final'!$AF$12="Catastrófico"),CONCATENATE("R2C",'Mapa final'!$S$12),"")</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69"/>
      <c r="AP17" s="370"/>
      <c r="AQ17" s="370"/>
      <c r="AR17" s="370"/>
      <c r="AS17" s="370"/>
      <c r="AT17" s="371"/>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318"/>
      <c r="C18" s="318"/>
      <c r="D18" s="319"/>
      <c r="E18" s="359"/>
      <c r="F18" s="360"/>
      <c r="G18" s="360"/>
      <c r="H18" s="360"/>
      <c r="I18" s="360"/>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69"/>
      <c r="AP18" s="370"/>
      <c r="AQ18" s="370"/>
      <c r="AR18" s="370"/>
      <c r="AS18" s="370"/>
      <c r="AT18" s="371"/>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318"/>
      <c r="C19" s="318"/>
      <c r="D19" s="319"/>
      <c r="E19" s="359"/>
      <c r="F19" s="360"/>
      <c r="G19" s="360"/>
      <c r="H19" s="360"/>
      <c r="I19" s="360"/>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69"/>
      <c r="AP19" s="370"/>
      <c r="AQ19" s="370"/>
      <c r="AR19" s="370"/>
      <c r="AS19" s="370"/>
      <c r="AT19" s="371"/>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318"/>
      <c r="C20" s="318"/>
      <c r="D20" s="319"/>
      <c r="E20" s="359"/>
      <c r="F20" s="360"/>
      <c r="G20" s="360"/>
      <c r="H20" s="360"/>
      <c r="I20" s="360"/>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69"/>
      <c r="AP20" s="370"/>
      <c r="AQ20" s="370"/>
      <c r="AR20" s="370"/>
      <c r="AS20" s="370"/>
      <c r="AT20" s="371"/>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318"/>
      <c r="C21" s="318"/>
      <c r="D21" s="319"/>
      <c r="E21" s="359"/>
      <c r="F21" s="360"/>
      <c r="G21" s="360"/>
      <c r="H21" s="360"/>
      <c r="I21" s="360"/>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69"/>
      <c r="AP21" s="370"/>
      <c r="AQ21" s="370"/>
      <c r="AR21" s="370"/>
      <c r="AS21" s="370"/>
      <c r="AT21" s="371"/>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318"/>
      <c r="C22" s="318"/>
      <c r="D22" s="319"/>
      <c r="E22" s="359"/>
      <c r="F22" s="360"/>
      <c r="G22" s="360"/>
      <c r="H22" s="360"/>
      <c r="I22" s="360"/>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69"/>
      <c r="AP22" s="370"/>
      <c r="AQ22" s="370"/>
      <c r="AR22" s="370"/>
      <c r="AS22" s="370"/>
      <c r="AT22" s="371"/>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318"/>
      <c r="C23" s="318"/>
      <c r="D23" s="319"/>
      <c r="E23" s="359"/>
      <c r="F23" s="360"/>
      <c r="G23" s="360"/>
      <c r="H23" s="360"/>
      <c r="I23" s="360"/>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69"/>
      <c r="AP23" s="370"/>
      <c r="AQ23" s="370"/>
      <c r="AR23" s="370"/>
      <c r="AS23" s="370"/>
      <c r="AT23" s="371"/>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318"/>
      <c r="C24" s="318"/>
      <c r="D24" s="319"/>
      <c r="E24" s="359"/>
      <c r="F24" s="360"/>
      <c r="G24" s="360"/>
      <c r="H24" s="360"/>
      <c r="I24" s="360"/>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69"/>
      <c r="AP24" s="370"/>
      <c r="AQ24" s="370"/>
      <c r="AR24" s="370"/>
      <c r="AS24" s="370"/>
      <c r="AT24" s="371"/>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318"/>
      <c r="C25" s="318"/>
      <c r="D25" s="319"/>
      <c r="E25" s="362"/>
      <c r="F25" s="363"/>
      <c r="G25" s="363"/>
      <c r="H25" s="363"/>
      <c r="I25" s="363"/>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72"/>
      <c r="AP25" s="373"/>
      <c r="AQ25" s="373"/>
      <c r="AR25" s="373"/>
      <c r="AS25" s="373"/>
      <c r="AT25" s="374"/>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318"/>
      <c r="C26" s="318"/>
      <c r="D26" s="319"/>
      <c r="E26" s="356" t="s">
        <v>116</v>
      </c>
      <c r="F26" s="357"/>
      <c r="G26" s="357"/>
      <c r="H26" s="357"/>
      <c r="I26" s="358"/>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96" t="s">
        <v>80</v>
      </c>
      <c r="AP26" s="397"/>
      <c r="AQ26" s="397"/>
      <c r="AR26" s="397"/>
      <c r="AS26" s="397"/>
      <c r="AT26" s="398"/>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318"/>
      <c r="C27" s="318"/>
      <c r="D27" s="319"/>
      <c r="E27" s="375"/>
      <c r="F27" s="360"/>
      <c r="G27" s="360"/>
      <c r="H27" s="360"/>
      <c r="I27" s="361"/>
      <c r="J27" s="59" t="str">
        <f>IF(AND('Mapa final'!$AD$11="Media",'Mapa final'!$AF$11="Leve"),CONCATENATE("R2C",'Mapa final'!$S$11),"")</f>
        <v/>
      </c>
      <c r="K27" s="60" t="str">
        <f>IF(AND('Mapa final'!$AD$12="Media",'Mapa final'!$AF$12="Leve"),CONCATENATE("R2C",'Mapa final'!$S$12),"")</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
      </c>
      <c r="Q27" s="60" t="str">
        <f>IF(AND('Mapa final'!$AD$12="Media",'Mapa final'!$AF$12="Menor"),CONCATENATE("R2C",'Mapa final'!$S$12),"")</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final'!$AD$12="Media",'Mapa final'!$AF$12="Moderado"),CONCATENATE("R2C",'Mapa final'!$S$12),"")</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final'!$AD$12="Media",'Mapa final'!$AF$12="Mayor"),CONCATENATE("R2C",'Mapa final'!$S$12),"")</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final'!$AD$12="Media",'Mapa final'!$AF$12="Catastrófico"),CONCATENATE("R2C",'Mapa final'!$S$12),"")</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99"/>
      <c r="AP27" s="400"/>
      <c r="AQ27" s="400"/>
      <c r="AR27" s="400"/>
      <c r="AS27" s="400"/>
      <c r="AT27" s="401"/>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318"/>
      <c r="C28" s="318"/>
      <c r="D28" s="319"/>
      <c r="E28" s="359"/>
      <c r="F28" s="360"/>
      <c r="G28" s="360"/>
      <c r="H28" s="360"/>
      <c r="I28" s="361"/>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99"/>
      <c r="AP28" s="400"/>
      <c r="AQ28" s="400"/>
      <c r="AR28" s="400"/>
      <c r="AS28" s="400"/>
      <c r="AT28" s="401"/>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318"/>
      <c r="C29" s="318"/>
      <c r="D29" s="319"/>
      <c r="E29" s="359"/>
      <c r="F29" s="360"/>
      <c r="G29" s="360"/>
      <c r="H29" s="360"/>
      <c r="I29" s="361"/>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99"/>
      <c r="AP29" s="400"/>
      <c r="AQ29" s="400"/>
      <c r="AR29" s="400"/>
      <c r="AS29" s="400"/>
      <c r="AT29" s="401"/>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318"/>
      <c r="C30" s="318"/>
      <c r="D30" s="319"/>
      <c r="E30" s="359"/>
      <c r="F30" s="360"/>
      <c r="G30" s="360"/>
      <c r="H30" s="360"/>
      <c r="I30" s="361"/>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99"/>
      <c r="AP30" s="400"/>
      <c r="AQ30" s="400"/>
      <c r="AR30" s="400"/>
      <c r="AS30" s="400"/>
      <c r="AT30" s="401"/>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318"/>
      <c r="C31" s="318"/>
      <c r="D31" s="319"/>
      <c r="E31" s="359"/>
      <c r="F31" s="360"/>
      <c r="G31" s="360"/>
      <c r="H31" s="360"/>
      <c r="I31" s="361"/>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99"/>
      <c r="AP31" s="400"/>
      <c r="AQ31" s="400"/>
      <c r="AR31" s="400"/>
      <c r="AS31" s="400"/>
      <c r="AT31" s="401"/>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318"/>
      <c r="C32" s="318"/>
      <c r="D32" s="319"/>
      <c r="E32" s="359"/>
      <c r="F32" s="360"/>
      <c r="G32" s="360"/>
      <c r="H32" s="360"/>
      <c r="I32" s="361"/>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99"/>
      <c r="AP32" s="400"/>
      <c r="AQ32" s="400"/>
      <c r="AR32" s="400"/>
      <c r="AS32" s="400"/>
      <c r="AT32" s="401"/>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318"/>
      <c r="C33" s="318"/>
      <c r="D33" s="319"/>
      <c r="E33" s="359"/>
      <c r="F33" s="360"/>
      <c r="G33" s="360"/>
      <c r="H33" s="360"/>
      <c r="I33" s="361"/>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99"/>
      <c r="AP33" s="400"/>
      <c r="AQ33" s="400"/>
      <c r="AR33" s="400"/>
      <c r="AS33" s="400"/>
      <c r="AT33" s="401"/>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318"/>
      <c r="C34" s="318"/>
      <c r="D34" s="319"/>
      <c r="E34" s="359"/>
      <c r="F34" s="360"/>
      <c r="G34" s="360"/>
      <c r="H34" s="360"/>
      <c r="I34" s="361"/>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99"/>
      <c r="AP34" s="400"/>
      <c r="AQ34" s="400"/>
      <c r="AR34" s="400"/>
      <c r="AS34" s="400"/>
      <c r="AT34" s="401"/>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318"/>
      <c r="C35" s="318"/>
      <c r="D35" s="319"/>
      <c r="E35" s="362"/>
      <c r="F35" s="363"/>
      <c r="G35" s="363"/>
      <c r="H35" s="363"/>
      <c r="I35" s="364"/>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402"/>
      <c r="AP35" s="403"/>
      <c r="AQ35" s="403"/>
      <c r="AR35" s="403"/>
      <c r="AS35" s="403"/>
      <c r="AT35" s="404"/>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318"/>
      <c r="C36" s="318"/>
      <c r="D36" s="319"/>
      <c r="E36" s="356" t="s">
        <v>113</v>
      </c>
      <c r="F36" s="357"/>
      <c r="G36" s="357"/>
      <c r="H36" s="357"/>
      <c r="I36" s="357"/>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87" t="s">
        <v>81</v>
      </c>
      <c r="AP36" s="388"/>
      <c r="AQ36" s="388"/>
      <c r="AR36" s="388"/>
      <c r="AS36" s="388"/>
      <c r="AT36" s="389"/>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318"/>
      <c r="C37" s="318"/>
      <c r="D37" s="319"/>
      <c r="E37" s="375"/>
      <c r="F37" s="360"/>
      <c r="G37" s="360"/>
      <c r="H37" s="360"/>
      <c r="I37" s="360"/>
      <c r="J37" s="68" t="str">
        <f>IF(AND('Mapa final'!$AD$11="Baja",'Mapa final'!$AF$11="Leve"),CONCATENATE("R2C",'Mapa final'!$S$11),"")</f>
        <v/>
      </c>
      <c r="K37" s="69" t="str">
        <f>IF(AND('Mapa final'!$AD$12="Baja",'Mapa final'!$AF$12="Leve"),CONCATENATE("R2C",'Mapa final'!$S$12),"")</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
      </c>
      <c r="Q37" s="60" t="str">
        <f>IF(AND('Mapa final'!$AD$12="Baja",'Mapa final'!$AF$12="Menor"),CONCATENATE("R2C",'Mapa final'!$S$12),"")</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R2C1</v>
      </c>
      <c r="W37" s="60" t="str">
        <f>IF(AND('Mapa final'!$AD$12="Baja",'Mapa final'!$AF$12="Moderado"),CONCATENATE("R2C",'Mapa final'!$S$12),"")</f>
        <v>R2C2</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final'!$AD$12="Baja",'Mapa final'!$AF$12="Mayor"),CONCATENATE("R2C",'Mapa final'!$S$12),"")</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final'!$AD$12="Baja",'Mapa final'!$AF$12="Catastrófico"),CONCATENATE("R2C",'Mapa final'!$S$12),"")</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90"/>
      <c r="AP37" s="391"/>
      <c r="AQ37" s="391"/>
      <c r="AR37" s="391"/>
      <c r="AS37" s="391"/>
      <c r="AT37" s="392"/>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318"/>
      <c r="C38" s="318"/>
      <c r="D38" s="319"/>
      <c r="E38" s="359"/>
      <c r="F38" s="360"/>
      <c r="G38" s="360"/>
      <c r="H38" s="360"/>
      <c r="I38" s="360"/>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90"/>
      <c r="AP38" s="391"/>
      <c r="AQ38" s="391"/>
      <c r="AR38" s="391"/>
      <c r="AS38" s="391"/>
      <c r="AT38" s="392"/>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318"/>
      <c r="C39" s="318"/>
      <c r="D39" s="319"/>
      <c r="E39" s="359"/>
      <c r="F39" s="360"/>
      <c r="G39" s="360"/>
      <c r="H39" s="360"/>
      <c r="I39" s="360"/>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90"/>
      <c r="AP39" s="391"/>
      <c r="AQ39" s="391"/>
      <c r="AR39" s="391"/>
      <c r="AS39" s="391"/>
      <c r="AT39" s="392"/>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318"/>
      <c r="C40" s="318"/>
      <c r="D40" s="319"/>
      <c r="E40" s="359"/>
      <c r="F40" s="360"/>
      <c r="G40" s="360"/>
      <c r="H40" s="360"/>
      <c r="I40" s="360"/>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90"/>
      <c r="AP40" s="391"/>
      <c r="AQ40" s="391"/>
      <c r="AR40" s="391"/>
      <c r="AS40" s="391"/>
      <c r="AT40" s="392"/>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318"/>
      <c r="C41" s="318"/>
      <c r="D41" s="319"/>
      <c r="E41" s="359"/>
      <c r="F41" s="360"/>
      <c r="G41" s="360"/>
      <c r="H41" s="360"/>
      <c r="I41" s="360"/>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90"/>
      <c r="AP41" s="391"/>
      <c r="AQ41" s="391"/>
      <c r="AR41" s="391"/>
      <c r="AS41" s="391"/>
      <c r="AT41" s="392"/>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318"/>
      <c r="C42" s="318"/>
      <c r="D42" s="319"/>
      <c r="E42" s="359"/>
      <c r="F42" s="360"/>
      <c r="G42" s="360"/>
      <c r="H42" s="360"/>
      <c r="I42" s="360"/>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90"/>
      <c r="AP42" s="391"/>
      <c r="AQ42" s="391"/>
      <c r="AR42" s="391"/>
      <c r="AS42" s="391"/>
      <c r="AT42" s="392"/>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318"/>
      <c r="C43" s="318"/>
      <c r="D43" s="319"/>
      <c r="E43" s="359"/>
      <c r="F43" s="360"/>
      <c r="G43" s="360"/>
      <c r="H43" s="360"/>
      <c r="I43" s="360"/>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90"/>
      <c r="AP43" s="391"/>
      <c r="AQ43" s="391"/>
      <c r="AR43" s="391"/>
      <c r="AS43" s="391"/>
      <c r="AT43" s="392"/>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318"/>
      <c r="C44" s="318"/>
      <c r="D44" s="319"/>
      <c r="E44" s="359"/>
      <c r="F44" s="360"/>
      <c r="G44" s="360"/>
      <c r="H44" s="360"/>
      <c r="I44" s="360"/>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90"/>
      <c r="AP44" s="391"/>
      <c r="AQ44" s="391"/>
      <c r="AR44" s="391"/>
      <c r="AS44" s="391"/>
      <c r="AT44" s="392"/>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318"/>
      <c r="C45" s="318"/>
      <c r="D45" s="319"/>
      <c r="E45" s="362"/>
      <c r="F45" s="363"/>
      <c r="G45" s="363"/>
      <c r="H45" s="363"/>
      <c r="I45" s="363"/>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93"/>
      <c r="AP45" s="394"/>
      <c r="AQ45" s="394"/>
      <c r="AR45" s="394"/>
      <c r="AS45" s="394"/>
      <c r="AT45" s="395"/>
    </row>
    <row r="46" spans="1:80" ht="46.5" customHeight="1" x14ac:dyDescent="0.35">
      <c r="A46" s="75"/>
      <c r="B46" s="318"/>
      <c r="C46" s="318"/>
      <c r="D46" s="319"/>
      <c r="E46" s="356" t="s">
        <v>112</v>
      </c>
      <c r="F46" s="357"/>
      <c r="G46" s="357"/>
      <c r="H46" s="357"/>
      <c r="I46" s="358"/>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318"/>
      <c r="C47" s="318"/>
      <c r="D47" s="319"/>
      <c r="E47" s="375"/>
      <c r="F47" s="360"/>
      <c r="G47" s="360"/>
      <c r="H47" s="360"/>
      <c r="I47" s="361"/>
      <c r="J47" s="68" t="str">
        <f>IF(AND('Mapa final'!$AD$11="Muy Baja",'Mapa final'!$AF$11="Leve"),CONCATENATE("R2C",'Mapa final'!$S$11),"")</f>
        <v/>
      </c>
      <c r="K47" s="69" t="str">
        <f>IF(AND('Mapa final'!$AD$12="Muy Baja",'Mapa final'!$AF$12="Leve"),CONCATENATE("R2C",'Mapa final'!$S$12),"")</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final'!$AD$12="Muy Baja",'Mapa final'!$AF$12="Menor"),CONCATENATE("R2C",'Mapa final'!$S$12),"")</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
      </c>
      <c r="W47" s="60" t="str">
        <f>IF(AND('Mapa final'!$AD$12="Muy Baja",'Mapa final'!$AF$12="Moderado"),CONCATENATE("R2C",'Mapa final'!$S$12),"")</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
      </c>
      <c r="AC47" s="45" t="str">
        <f>IF(AND('Mapa final'!$AD$12="Muy Baja",'Mapa final'!$AF$12="Mayor"),CONCATENATE("R2C",'Mapa final'!$S$12),"")</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
      </c>
      <c r="AI47" s="48" t="str">
        <f>IF(AND('Mapa final'!$AD$12="Muy Baja",'Mapa final'!$AF$12="Catastrófico"),CONCATENATE("R2C",'Mapa final'!$S$12),"")</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318"/>
      <c r="C48" s="318"/>
      <c r="D48" s="319"/>
      <c r="E48" s="375"/>
      <c r="F48" s="360"/>
      <c r="G48" s="360"/>
      <c r="H48" s="360"/>
      <c r="I48" s="361"/>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318"/>
      <c r="C49" s="318"/>
      <c r="D49" s="319"/>
      <c r="E49" s="359"/>
      <c r="F49" s="360"/>
      <c r="G49" s="360"/>
      <c r="H49" s="360"/>
      <c r="I49" s="361"/>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318"/>
      <c r="C50" s="318"/>
      <c r="D50" s="319"/>
      <c r="E50" s="359"/>
      <c r="F50" s="360"/>
      <c r="G50" s="360"/>
      <c r="H50" s="360"/>
      <c r="I50" s="361"/>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318"/>
      <c r="C51" s="318"/>
      <c r="D51" s="319"/>
      <c r="E51" s="359"/>
      <c r="F51" s="360"/>
      <c r="G51" s="360"/>
      <c r="H51" s="360"/>
      <c r="I51" s="361"/>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318"/>
      <c r="C52" s="318"/>
      <c r="D52" s="319"/>
      <c r="E52" s="359"/>
      <c r="F52" s="360"/>
      <c r="G52" s="360"/>
      <c r="H52" s="360"/>
      <c r="I52" s="361"/>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318"/>
      <c r="C53" s="318"/>
      <c r="D53" s="319"/>
      <c r="E53" s="359"/>
      <c r="F53" s="360"/>
      <c r="G53" s="360"/>
      <c r="H53" s="360"/>
      <c r="I53" s="361"/>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318"/>
      <c r="C54" s="318"/>
      <c r="D54" s="319"/>
      <c r="E54" s="359"/>
      <c r="F54" s="360"/>
      <c r="G54" s="360"/>
      <c r="H54" s="360"/>
      <c r="I54" s="361"/>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318"/>
      <c r="C55" s="318"/>
      <c r="D55" s="319"/>
      <c r="E55" s="362"/>
      <c r="F55" s="363"/>
      <c r="G55" s="363"/>
      <c r="H55" s="363"/>
      <c r="I55" s="364"/>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56" t="s">
        <v>111</v>
      </c>
      <c r="K56" s="357"/>
      <c r="L56" s="357"/>
      <c r="M56" s="357"/>
      <c r="N56" s="357"/>
      <c r="O56" s="358"/>
      <c r="P56" s="356" t="s">
        <v>110</v>
      </c>
      <c r="Q56" s="357"/>
      <c r="R56" s="357"/>
      <c r="S56" s="357"/>
      <c r="T56" s="357"/>
      <c r="U56" s="358"/>
      <c r="V56" s="356" t="s">
        <v>109</v>
      </c>
      <c r="W56" s="357"/>
      <c r="X56" s="357"/>
      <c r="Y56" s="357"/>
      <c r="Z56" s="357"/>
      <c r="AA56" s="358"/>
      <c r="AB56" s="356" t="s">
        <v>108</v>
      </c>
      <c r="AC56" s="365"/>
      <c r="AD56" s="357"/>
      <c r="AE56" s="357"/>
      <c r="AF56" s="357"/>
      <c r="AG56" s="358"/>
      <c r="AH56" s="356" t="s">
        <v>107</v>
      </c>
      <c r="AI56" s="357"/>
      <c r="AJ56" s="357"/>
      <c r="AK56" s="357"/>
      <c r="AL56" s="357"/>
      <c r="AM56" s="358"/>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59"/>
      <c r="K57" s="360"/>
      <c r="L57" s="360"/>
      <c r="M57" s="360"/>
      <c r="N57" s="360"/>
      <c r="O57" s="361"/>
      <c r="P57" s="359"/>
      <c r="Q57" s="360"/>
      <c r="R57" s="360"/>
      <c r="S57" s="360"/>
      <c r="T57" s="360"/>
      <c r="U57" s="361"/>
      <c r="V57" s="359"/>
      <c r="W57" s="360"/>
      <c r="X57" s="360"/>
      <c r="Y57" s="360"/>
      <c r="Z57" s="360"/>
      <c r="AA57" s="361"/>
      <c r="AB57" s="359"/>
      <c r="AC57" s="360"/>
      <c r="AD57" s="360"/>
      <c r="AE57" s="360"/>
      <c r="AF57" s="360"/>
      <c r="AG57" s="361"/>
      <c r="AH57" s="359"/>
      <c r="AI57" s="360"/>
      <c r="AJ57" s="360"/>
      <c r="AK57" s="360"/>
      <c r="AL57" s="360"/>
      <c r="AM57" s="361"/>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59"/>
      <c r="K58" s="360"/>
      <c r="L58" s="360"/>
      <c r="M58" s="360"/>
      <c r="N58" s="360"/>
      <c r="O58" s="361"/>
      <c r="P58" s="359"/>
      <c r="Q58" s="360"/>
      <c r="R58" s="360"/>
      <c r="S58" s="360"/>
      <c r="T58" s="360"/>
      <c r="U58" s="361"/>
      <c r="V58" s="359"/>
      <c r="W58" s="360"/>
      <c r="X58" s="360"/>
      <c r="Y58" s="360"/>
      <c r="Z58" s="360"/>
      <c r="AA58" s="361"/>
      <c r="AB58" s="359"/>
      <c r="AC58" s="360"/>
      <c r="AD58" s="360"/>
      <c r="AE58" s="360"/>
      <c r="AF58" s="360"/>
      <c r="AG58" s="361"/>
      <c r="AH58" s="359"/>
      <c r="AI58" s="360"/>
      <c r="AJ58" s="360"/>
      <c r="AK58" s="360"/>
      <c r="AL58" s="360"/>
      <c r="AM58" s="361"/>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59"/>
      <c r="K59" s="360"/>
      <c r="L59" s="360"/>
      <c r="M59" s="360"/>
      <c r="N59" s="360"/>
      <c r="O59" s="361"/>
      <c r="P59" s="359"/>
      <c r="Q59" s="360"/>
      <c r="R59" s="360"/>
      <c r="S59" s="360"/>
      <c r="T59" s="360"/>
      <c r="U59" s="361"/>
      <c r="V59" s="359"/>
      <c r="W59" s="360"/>
      <c r="X59" s="360"/>
      <c r="Y59" s="360"/>
      <c r="Z59" s="360"/>
      <c r="AA59" s="361"/>
      <c r="AB59" s="359"/>
      <c r="AC59" s="360"/>
      <c r="AD59" s="360"/>
      <c r="AE59" s="360"/>
      <c r="AF59" s="360"/>
      <c r="AG59" s="361"/>
      <c r="AH59" s="359"/>
      <c r="AI59" s="360"/>
      <c r="AJ59" s="360"/>
      <c r="AK59" s="360"/>
      <c r="AL59" s="360"/>
      <c r="AM59" s="361"/>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59"/>
      <c r="K60" s="360"/>
      <c r="L60" s="360"/>
      <c r="M60" s="360"/>
      <c r="N60" s="360"/>
      <c r="O60" s="361"/>
      <c r="P60" s="359"/>
      <c r="Q60" s="360"/>
      <c r="R60" s="360"/>
      <c r="S60" s="360"/>
      <c r="T60" s="360"/>
      <c r="U60" s="361"/>
      <c r="V60" s="359"/>
      <c r="W60" s="360"/>
      <c r="X60" s="360"/>
      <c r="Y60" s="360"/>
      <c r="Z60" s="360"/>
      <c r="AA60" s="361"/>
      <c r="AB60" s="359"/>
      <c r="AC60" s="360"/>
      <c r="AD60" s="360"/>
      <c r="AE60" s="360"/>
      <c r="AF60" s="360"/>
      <c r="AG60" s="361"/>
      <c r="AH60" s="359"/>
      <c r="AI60" s="360"/>
      <c r="AJ60" s="360"/>
      <c r="AK60" s="360"/>
      <c r="AL60" s="360"/>
      <c r="AM60" s="361"/>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62"/>
      <c r="K61" s="363"/>
      <c r="L61" s="363"/>
      <c r="M61" s="363"/>
      <c r="N61" s="363"/>
      <c r="O61" s="364"/>
      <c r="P61" s="362"/>
      <c r="Q61" s="363"/>
      <c r="R61" s="363"/>
      <c r="S61" s="363"/>
      <c r="T61" s="363"/>
      <c r="U61" s="364"/>
      <c r="V61" s="362"/>
      <c r="W61" s="363"/>
      <c r="X61" s="363"/>
      <c r="Y61" s="363"/>
      <c r="Z61" s="363"/>
      <c r="AA61" s="364"/>
      <c r="AB61" s="362"/>
      <c r="AC61" s="363"/>
      <c r="AD61" s="363"/>
      <c r="AE61" s="363"/>
      <c r="AF61" s="363"/>
      <c r="AG61" s="364"/>
      <c r="AH61" s="362"/>
      <c r="AI61" s="363"/>
      <c r="AJ61" s="363"/>
      <c r="AK61" s="363"/>
      <c r="AL61" s="363"/>
      <c r="AM61" s="364"/>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405" t="s">
        <v>54</v>
      </c>
      <c r="C1" s="405"/>
      <c r="D1" s="405"/>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406" t="s">
        <v>62</v>
      </c>
      <c r="C1" s="406"/>
      <c r="D1" s="406"/>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407" t="s">
        <v>77</v>
      </c>
      <c r="C1" s="408"/>
      <c r="D1" s="408"/>
      <c r="E1" s="408"/>
      <c r="F1" s="409"/>
    </row>
    <row r="2" spans="2:6" ht="16.5" thickBot="1" x14ac:dyDescent="0.3">
      <c r="B2" s="81"/>
      <c r="C2" s="81"/>
      <c r="D2" s="81"/>
      <c r="E2" s="81"/>
      <c r="F2" s="81"/>
    </row>
    <row r="3" spans="2:6" ht="16.5" thickBot="1" x14ac:dyDescent="0.25">
      <c r="B3" s="411" t="s">
        <v>63</v>
      </c>
      <c r="C3" s="412"/>
      <c r="D3" s="412"/>
      <c r="E3" s="93" t="s">
        <v>64</v>
      </c>
      <c r="F3" s="94" t="s">
        <v>65</v>
      </c>
    </row>
    <row r="4" spans="2:6" ht="31.5" x14ac:dyDescent="0.2">
      <c r="B4" s="413" t="s">
        <v>66</v>
      </c>
      <c r="C4" s="415" t="s">
        <v>13</v>
      </c>
      <c r="D4" s="82" t="s">
        <v>14</v>
      </c>
      <c r="E4" s="83" t="s">
        <v>67</v>
      </c>
      <c r="F4" s="84">
        <v>0.25</v>
      </c>
    </row>
    <row r="5" spans="2:6" ht="47.25" x14ac:dyDescent="0.2">
      <c r="B5" s="414"/>
      <c r="C5" s="416"/>
      <c r="D5" s="85" t="s">
        <v>15</v>
      </c>
      <c r="E5" s="86" t="s">
        <v>68</v>
      </c>
      <c r="F5" s="87">
        <v>0.15</v>
      </c>
    </row>
    <row r="6" spans="2:6" ht="47.25" x14ac:dyDescent="0.2">
      <c r="B6" s="414"/>
      <c r="C6" s="416"/>
      <c r="D6" s="85" t="s">
        <v>16</v>
      </c>
      <c r="E6" s="86" t="s">
        <v>69</v>
      </c>
      <c r="F6" s="87">
        <v>0.1</v>
      </c>
    </row>
    <row r="7" spans="2:6" ht="63" x14ac:dyDescent="0.2">
      <c r="B7" s="414"/>
      <c r="C7" s="416" t="s">
        <v>17</v>
      </c>
      <c r="D7" s="85" t="s">
        <v>10</v>
      </c>
      <c r="E7" s="86" t="s">
        <v>70</v>
      </c>
      <c r="F7" s="87">
        <v>0.25</v>
      </c>
    </row>
    <row r="8" spans="2:6" ht="31.5" x14ac:dyDescent="0.2">
      <c r="B8" s="414"/>
      <c r="C8" s="416"/>
      <c r="D8" s="85" t="s">
        <v>9</v>
      </c>
      <c r="E8" s="86" t="s">
        <v>71</v>
      </c>
      <c r="F8" s="87">
        <v>0.15</v>
      </c>
    </row>
    <row r="9" spans="2:6" ht="47.25" x14ac:dyDescent="0.2">
      <c r="B9" s="414" t="s">
        <v>159</v>
      </c>
      <c r="C9" s="416" t="s">
        <v>18</v>
      </c>
      <c r="D9" s="85" t="s">
        <v>19</v>
      </c>
      <c r="E9" s="86" t="s">
        <v>72</v>
      </c>
      <c r="F9" s="88" t="s">
        <v>73</v>
      </c>
    </row>
    <row r="10" spans="2:6" ht="63" x14ac:dyDescent="0.2">
      <c r="B10" s="414"/>
      <c r="C10" s="416"/>
      <c r="D10" s="85" t="s">
        <v>20</v>
      </c>
      <c r="E10" s="86" t="s">
        <v>74</v>
      </c>
      <c r="F10" s="88" t="s">
        <v>73</v>
      </c>
    </row>
    <row r="11" spans="2:6" ht="47.25" x14ac:dyDescent="0.2">
      <c r="B11" s="414"/>
      <c r="C11" s="416" t="s">
        <v>21</v>
      </c>
      <c r="D11" s="85" t="s">
        <v>22</v>
      </c>
      <c r="E11" s="86" t="s">
        <v>75</v>
      </c>
      <c r="F11" s="88" t="s">
        <v>73</v>
      </c>
    </row>
    <row r="12" spans="2:6" ht="47.25" x14ac:dyDescent="0.2">
      <c r="B12" s="414"/>
      <c r="C12" s="416"/>
      <c r="D12" s="85" t="s">
        <v>23</v>
      </c>
      <c r="E12" s="86" t="s">
        <v>76</v>
      </c>
      <c r="F12" s="88" t="s">
        <v>73</v>
      </c>
    </row>
    <row r="13" spans="2:6" ht="31.5" x14ac:dyDescent="0.2">
      <c r="B13" s="414"/>
      <c r="C13" s="416" t="s">
        <v>24</v>
      </c>
      <c r="D13" s="85" t="s">
        <v>118</v>
      </c>
      <c r="E13" s="86" t="s">
        <v>121</v>
      </c>
      <c r="F13" s="88" t="s">
        <v>73</v>
      </c>
    </row>
    <row r="14" spans="2:6" ht="32.25" thickBot="1" x14ac:dyDescent="0.25">
      <c r="B14" s="417"/>
      <c r="C14" s="418"/>
      <c r="D14" s="89" t="s">
        <v>119</v>
      </c>
      <c r="E14" s="90" t="s">
        <v>120</v>
      </c>
      <c r="F14" s="91" t="s">
        <v>73</v>
      </c>
    </row>
    <row r="15" spans="2:6" ht="49.5" customHeight="1" x14ac:dyDescent="0.2">
      <c r="B15" s="410" t="s">
        <v>156</v>
      </c>
      <c r="C15" s="410"/>
      <c r="D15" s="410"/>
      <c r="E15" s="410"/>
      <c r="F15" s="410"/>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Córdoba Vargas</cp:lastModifiedBy>
  <cp:lastPrinted>2020-05-13T01:12:22Z</cp:lastPrinted>
  <dcterms:created xsi:type="dcterms:W3CDTF">2020-03-24T23:12:47Z</dcterms:created>
  <dcterms:modified xsi:type="dcterms:W3CDTF">2023-12-06T22:09:08Z</dcterms:modified>
</cp:coreProperties>
</file>