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cinterno\OneDrive - Escuela Tecnologica Instituto Tecnico Central\CI DIANA\2022\Riesgos\"/>
    </mc:Choice>
  </mc:AlternateContent>
  <bookViews>
    <workbookView xWindow="-120" yWindow="-120" windowWidth="20730" windowHeight="1104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 r:id="rId13"/>
  </externalReferences>
  <calcPr calcId="162913"/>
  <pivotCaches>
    <pivotCache cacheId="0" r:id="rId1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1" l="1"/>
  <c r="Q21" i="1" s="1"/>
  <c r="AG21" i="1" s="1"/>
  <c r="AF21" i="1" s="1"/>
  <c r="L21" i="1"/>
  <c r="L16" i="1"/>
  <c r="L19" i="1"/>
  <c r="AC15" i="1"/>
  <c r="AE15" i="1" s="1"/>
  <c r="AG14" i="1"/>
  <c r="AF14" i="1" s="1"/>
  <c r="AG12" i="1"/>
  <c r="AF12" i="1" s="1"/>
  <c r="AC12" i="1"/>
  <c r="AD12" i="1" s="1"/>
  <c r="O19" i="1"/>
  <c r="AG13" i="1" l="1"/>
  <c r="AF13" i="1" s="1"/>
  <c r="AH12" i="1"/>
  <c r="R21" i="1"/>
  <c r="M21" i="1"/>
  <c r="AC21" i="1" s="1"/>
  <c r="AD21" i="1" s="1"/>
  <c r="AH21" i="1" s="1"/>
  <c r="AG15" i="1"/>
  <c r="AF15" i="1" s="1"/>
  <c r="M16" i="1"/>
  <c r="AC16" i="1" s="1"/>
  <c r="AD16" i="1" s="1"/>
  <c r="P19" i="1"/>
  <c r="Q19" i="1" s="1"/>
  <c r="AG19" i="1" s="1"/>
  <c r="M19" i="1"/>
  <c r="AC19" i="1" s="1"/>
  <c r="AE19" i="1" s="1"/>
  <c r="AC20" i="1" s="1"/>
  <c r="AE20" i="1" s="1"/>
  <c r="AD15" i="1"/>
  <c r="AE12" i="1"/>
  <c r="AC13" i="1" s="1"/>
  <c r="AE13" i="1" s="1"/>
  <c r="AC14" i="1" s="1"/>
  <c r="AD14" i="1" s="1"/>
  <c r="AH14" i="1" s="1"/>
  <c r="L26" i="1"/>
  <c r="AD19" i="1" l="1"/>
  <c r="AD20" i="1"/>
  <c r="AH15" i="1"/>
  <c r="AE21" i="1"/>
  <c r="AF19" i="1"/>
  <c r="AH19" i="1" s="1"/>
  <c r="AG20" i="1"/>
  <c r="AF20" i="1" s="1"/>
  <c r="AH20" i="1" s="1"/>
  <c r="AD13" i="1"/>
  <c r="AH13" i="1" s="1"/>
  <c r="AE14" i="1"/>
  <c r="AE16" i="1"/>
  <c r="AC17" i="1" s="1"/>
  <c r="R19" i="1"/>
  <c r="F221" i="13"/>
  <c r="F211" i="13"/>
  <c r="F212" i="13"/>
  <c r="F213" i="13"/>
  <c r="F214" i="13"/>
  <c r="F215" i="13"/>
  <c r="F216" i="13"/>
  <c r="F217" i="13"/>
  <c r="F218" i="13"/>
  <c r="F219" i="13"/>
  <c r="F220" i="13"/>
  <c r="F210" i="13"/>
  <c r="B221" i="13" a="1"/>
  <c r="AD17" i="1" l="1"/>
  <c r="AE17" i="1"/>
  <c r="AC18" i="1" s="1"/>
  <c r="B221" i="13"/>
  <c r="AE18" i="1" l="1"/>
  <c r="AD18"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O16" i="1" l="1"/>
  <c r="P16" i="1" s="1"/>
  <c r="Q16" i="1" l="1"/>
  <c r="AG16" i="1" s="1"/>
  <c r="R16" i="1"/>
  <c r="AF16" i="1" l="1"/>
  <c r="AH16" i="1" s="1"/>
  <c r="AG17" i="1"/>
  <c r="AF17" i="1" l="1"/>
  <c r="AH17" i="1" s="1"/>
  <c r="AG18" i="1"/>
  <c r="AF18" i="1" s="1"/>
  <c r="AH18" i="1" s="1"/>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<sst xmlns="http://schemas.openxmlformats.org/spreadsheetml/2006/main" count="592" uniqueCount="347">
  <si>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</si>
  <si>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</si>
  <si>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</si>
  <si>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</si>
  <si>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</si>
  <si>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</si>
  <si>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</si>
  <si>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</si>
  <si>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</si>
  <si>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</si>
  <si>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</si>
  <si>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</si>
  <si>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</si>
  <si>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</si>
  <si>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</si>
  <si>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</si>
  <si>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</si>
  <si>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</si>
  <si>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</si>
  <si>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</si>
  <si>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</si>
  <si>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</si>
  <si>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</si>
  <si>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</si>
  <si>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</si>
  <si>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</si>
  <si>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</si>
  <si>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</si>
  <si>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</si>
  <si>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</si>
  <si>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</si>
  <si>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</si>
  <si>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</si>
  <si>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</si>
  <si>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</si>
  <si>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</si>
  <si>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</si>
  <si>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</si>
  <si>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</si>
  <si>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</si>
  <si>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</si>
  <si>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</si>
  <si>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</si>
  <si>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</si>
  <si>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</si>
  <si>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</si>
  <si>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</si>
  <si>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</si>
  <si>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</si>
  <si>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</si>
  <si>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</si>
  <si>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</si>
  <si>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</si>
  <si>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</si>
  <si>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</si>
  <si>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</si>
  <si>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</si>
  <si>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</si>
  <si>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</si>
  <si>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</si>
  <si>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</si>
  <si>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</si>
  <si>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</si>
  <si>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</si>
  <si>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</si>
  <si>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</si>
  <si>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</si>
  <si>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</si>
  <si>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</si>
  <si>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</si>
  <si>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</si>
  <si>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</si>
  <si>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</si>
  <si>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</si>
  <si>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</si>
  <si>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</si>
  <si>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</si>
  <si>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</si>
  <si>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</si>
  <si>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</si>
  <si>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</si>
  <si>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</si>
  <si>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</si>
  <si>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</si>
  <si>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</si>
  <si>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</si>
  <si>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</si>
  <si>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</si>
  <si>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</si>
  <si>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</si>
  <si>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</si>
  <si>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</si>
  <si>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</si>
  <si>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</si>
  <si>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</si>
  <si>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</si>
  <si>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</si>
  <si>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</si>
  <si>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</si>
  <si>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</si>
  <si>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</si>
  <si>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</si>
  <si>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</si>
  <si>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</si>
  <si>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</si>
  <si>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</si>
  <si>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</si>
  <si>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</si>
  <si>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</si>
  <si>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</si>
  <si>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</si>
  <si>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</si>
  <si>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</si>
  <si>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</si>
  <si>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</si>
  <si>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</si>
  <si>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</si>
  <si>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</si>
  <si>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</si>
  <si>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</si>
  <si>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</si>
  <si>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</si>
  <si>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</si>
  <si>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</si>
  <si>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</si>
  <si>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</si>
  <si>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</si>
  <si>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</si>
  <si>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</si>
  <si>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</si>
  <si>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</si>
  <si>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</si>
  <si>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</si>
  <si>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</si>
  <si>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</si>
  <si>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</si>
  <si>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</si>
  <si>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</si>
  <si>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</si>
  <si>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</si>
  <si>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</si>
  <si>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</si>
  <si>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</si>
  <si>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</si>
  <si>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</si>
  <si>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</si>
  <si>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</si>
  <si>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</si>
  <si>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</si>
  <si>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</si>
  <si>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</si>
  <si>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</si>
  <si>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</si>
  <si>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</si>
  <si>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</si>
  <si>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</si>
  <si>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</si>
  <si>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</si>
  <si>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</si>
  <si>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</si>
  <si>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</si>
  <si>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</si>
  <si>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</si>
  <si>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</si>
  <si>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</si>
  <si>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</si>
  <si>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</si>
  <si>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</si>
  <si>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</si>
  <si>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</si>
  <si>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</si>
  <si>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</si>
  <si>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</si>
  <si>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</si>
  <si>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</si>
  <si>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</si>
  <si>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</si>
  <si>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</si>
  <si>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</si>
  <si>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</si>
  <si>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</si>
  <si>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</si>
  <si>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</si>
  <si>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</si>
  <si>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</si>
  <si>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</si>
  <si>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</si>
  <si>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</si>
  <si>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</si>
  <si>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</si>
  <si>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</si>
  <si>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</si>
  <si>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</si>
  <si>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</si>
  <si>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</si>
  <si>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</si>
  <si>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</si>
  <si>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</si>
  <si>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</si>
  <si>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</si>
  <si>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</si>
  <si>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</si>
  <si>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</si>
  <si>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</si>
  <si>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</si>
  <si>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</si>
  <si>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</si>
  <si>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</si>
  <si>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</si>
  <si>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</si>
  <si>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</si>
  <si>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</si>
  <si>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</si>
  <si>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</si>
  <si>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</si>
  <si>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</si>
  <si>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</si>
  <si>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</si>
  <si>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</si>
  <si>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</si>
  <si>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</si>
  <si>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</si>
  <si>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</si>
  <si>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</si>
  <si>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</si>
  <si>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</si>
  <si>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</si>
  <si>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</si>
  <si>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</si>
  <si>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</si>
  <si>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</si>
  <si>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</si>
  <si>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</si>
  <si>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</si>
  <si>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</si>
  <si>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</si>
  <si>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</si>
  <si>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</si>
  <si>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</si>
  <si>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</si>
  <si>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</si>
  <si>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</si>
  <si>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</si>
  <si>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</si>
  <si>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</si>
  <si>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</si>
  <si>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</si>
  <si>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</si>
  <si>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</si>
  <si>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</si>
  <si>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</si>
  <si>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</si>
  <si>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</si>
  <si>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</si>
  <si>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DOCUMENTAL</t>
  </si>
  <si>
    <t>Desarrollar las actividades administrativas y técnicas con conocimiento con la planificación de los procesos archivísticos en relación con la organización administración, valoración y preservación de los documentos de archivo producidos y/o recibidos por la entidad en cumplimiento de sus funciones, con el fin de garantizar el acceso oportuno de la información así como brindar el servicio de la atención e información al ciudadano, a través del sistema de PQRSD, respondiendo de esta manera al cumplimiento de los fines institucionales</t>
  </si>
  <si>
    <t xml:space="preserve">Desde la planeación de la función archivística de la entidad hasta el diseño, implementación, evaluación y mejora de la producción, tramite, organización, administración, preservación, hasta la difusión y acceso a la información pública y a los documentos de archivo en la Escuela Tecnologica Instituto Técnico Central. </t>
  </si>
  <si>
    <t>Enfermedades laborales
Demandas
Sanciones</t>
  </si>
  <si>
    <t>Falta de fumigación en el archivo de la entidad.
Falta de EPP
Falta o inadecuada limpieza en el archivo central por parte del personal de servicios generales.</t>
  </si>
  <si>
    <t>Afectación en la gestión institucional.
Investigaciones disciplinarias.
Pérdida o cambio de información institucional</t>
  </si>
  <si>
    <t>Omitir el procedimiento definido para el préstamo o consulta de los documentos.
Posibilidad de acceso a los archivos de personal no autorizado</t>
  </si>
  <si>
    <t>Denuncias penales.
Incumplimiento de la ley 1712 de 2014.
Perdida de información relevante para la entidad.
Investigaciones disciplinarias.</t>
  </si>
  <si>
    <t>Uso indebido de la información a personal no autorizado</t>
  </si>
  <si>
    <t>Cumplimiento al procedimiento de préstamo de documentos.</t>
  </si>
  <si>
    <t>Mantener la información generada en el proceso en el Onedrive</t>
  </si>
  <si>
    <t>Solicitar al área de Gestión Ambiental fumigación del archivo central.</t>
  </si>
  <si>
    <t>Realizar al área de SST la soliciud de elementos de protección personal.</t>
  </si>
  <si>
    <t>Verificar que se cumpla el protocolo para limpieza y desinfección en los archivos con el apoyo de SST.</t>
  </si>
  <si>
    <t>Cumplir el procedimiento para el préstamo o la consulta de documentos, diligenciando los respectivos formatos</t>
  </si>
  <si>
    <t>Restricción de entrada sólo de personal autorizado.
Si por necesidad o por solicitud debe ingresar algún externo del proceso al archivo, este debe dilgenciar la planilla de control de visita.</t>
  </si>
  <si>
    <t xml:space="preserve">Sensibilización al equipo de trabajo de responsabilidades y cumplimiento de política de seguridad de la información </t>
  </si>
  <si>
    <t>40%</t>
  </si>
  <si>
    <t>Realizar los controles de prèstamo.</t>
  </si>
  <si>
    <t>Profesional Gestión Documental y Atención al Ciudadano</t>
  </si>
  <si>
    <t>Cada vez que se tramite un prestamo</t>
  </si>
  <si>
    <t xml:space="preserve">Cuando se entreguen documentos de forma física
</t>
  </si>
  <si>
    <t>25%</t>
  </si>
  <si>
    <t>Junio de 2022</t>
  </si>
  <si>
    <t>Solicitar reporte al area de tecnologia para tener un control diario semanal de la actualizacion del Onedirve.</t>
  </si>
  <si>
    <t>Todos los integrantes del proceso</t>
  </si>
  <si>
    <t xml:space="preserve">Permanente
</t>
  </si>
  <si>
    <t>Verificar el cronograma para la debida fumugación del archivo central, realizando seguimiento de este mismo para su debido cumplimiento.</t>
  </si>
  <si>
    <t>Semestral</t>
  </si>
  <si>
    <t>Cumplir con la entrega de los EPP en el tiempo establecido.</t>
  </si>
  <si>
    <t>Permanente</t>
  </si>
  <si>
    <t>30%</t>
  </si>
  <si>
    <t>Cada 8 ó 15 días se debe realizar limpieza al archivo, de acuerdo al protocolo definido y se registra en planilla de control.</t>
  </si>
  <si>
    <t>Se debe diligenciar el formato  de control de consultas y prestamos, con el fin de tener un reporte de las personas que lo solicitan.</t>
  </si>
  <si>
    <t xml:space="preserve">Profesional de Gestión Documental y Atención al Ciudadano
</t>
  </si>
  <si>
    <t>Cada vez que se consulte o preste un documento</t>
  </si>
  <si>
    <t>Realizar el control de ingreso de las visitas al archivo central, mediante las planillas estipuladas.</t>
  </si>
  <si>
    <t>Cuando ingresa personal externo del proceso al archivo central</t>
  </si>
  <si>
    <t>Cumplir con el acuerdo de cofiabilidad establecido por la entidad.</t>
  </si>
  <si>
    <t xml:space="preserve">Profesional de Gestión Documental y Atención al Ciudadano </t>
  </si>
  <si>
    <r>
      <rPr>
        <b/>
        <sz val="14"/>
        <rFont val="Arial Narrow"/>
        <family val="2"/>
      </rPr>
      <t>LIDER DEL PROCESO:</t>
    </r>
    <r>
      <rPr>
        <sz val="14"/>
        <rFont val="Arial Narrow"/>
        <family val="2"/>
      </rPr>
      <t xml:space="preserve"> Alicia Janeth Peña Sánchez</t>
    </r>
  </si>
  <si>
    <t>Posibilidad de afectación económica y reputacional por daño en la salud de los funcionarios del proceso por presencia de acaros y/o otros agentes biológicos que pueden generar enfermedades laborales.</t>
  </si>
  <si>
    <t>Posibilidad de afectación económica y reputacional por recibir o solicitar cualquier dádiva o beneficio a nombre propio o de terceros al manipular/ incluir / extraer documentos a cualquier expediente en custodia del archivo central.</t>
  </si>
  <si>
    <t>Posibilidad de afectación económica y reputacional por utilizar información en beneficio propio o de un tercero</t>
  </si>
  <si>
    <t>Cumplir el procedimiento de préstamo de documentos.</t>
  </si>
  <si>
    <t>Cumplir el procedimiento de PQSRD</t>
  </si>
  <si>
    <t>Realización y entrega de estudios previos con los respectivos sortes</t>
  </si>
  <si>
    <t>Información almacena en el onedrive</t>
  </si>
  <si>
    <t xml:space="preserve">Solicitud a gestión ambiental del cronograma </t>
  </si>
  <si>
    <t>Solicitud de EPP</t>
  </si>
  <si>
    <t>Confirmación del cumplimiento del protocolo de limpieza por parte del personal de aseo</t>
  </si>
  <si>
    <t>Cumplimiento al procedimiento de préstamo de documentos., diligenciando los respectivos formatos</t>
  </si>
  <si>
    <t>Planilla de control de visita al archivo central diligenciada</t>
  </si>
  <si>
    <t>Correo u oficio a los colaboradores del área de Atención al Ciudadano y Gestión Documental donde se notifique la responsabilidad de la información que tiene a su cargo.</t>
  </si>
  <si>
    <t>Entrega de los estudios previos y solicitud de inclusión el el  Plan de acción de 2022</t>
  </si>
  <si>
    <t>Para el periodo reportado, con corte de abril 30 de 2022, no se materializó el riesgo, En la actualidad  se están diglienciando los estudios previos y solicitando las respectivas cotizaciones.</t>
  </si>
  <si>
    <t xml:space="preserve">Para el periodo reportado, con corte de abril 30 de 2022, no se materializó el riesgo. Toda la información que genera cada uno de los funcionarios se guarda en el onedrive desde el correo institucional de cada uno.  
</t>
  </si>
  <si>
    <t>Para el periodo reportado, con corte de abril 30 de 2022, no se materializó el riesgo; Mediante correo electrónico enviado al área de gestión ambiental en marzo 8 de 2022, se solicitó el cronograma de realización de las actividades necesarias.</t>
  </si>
  <si>
    <t>Para el periodo reportado, con corte de abril 30 de 2022, no se materializó el riesgo; se realiza el protocolo de limpieza por personal de servicios generales</t>
  </si>
  <si>
    <t>Para el periodo reportado, con corte de abril 30 de 2022, no se materializó el riesgo; se realiza el debido diligenciamiento de la planilla de préstamos documentales GDO-FO-08, para el cumplimiento del procedimiento.</t>
  </si>
  <si>
    <t>Anualmente recordar el acuerdo a los colaboradores del área de Atención al  Ciudadano y Gestión Documental.</t>
  </si>
  <si>
    <t>Para el periodo reportado, con corte de abril 30 de 2022, no se materializó el riesgo; para el ingreso de visitas al archivo central, se encuentra la planilla diligenciada con 9 registros.</t>
  </si>
  <si>
    <t>Para el periodo reportado, con corte de abril 30 de 2022, no se materializó el riesgo; mediante correo enviado a SST el 17 de febrero de 2022, se solicitó la entrega de los EPP</t>
  </si>
  <si>
    <t>Para el periodo reportado, con corte de abril 30 de 2022, no se materializó el riesgo; se entregó en formato físico a los colaborares el cumplimiento del acuerdo.</t>
  </si>
  <si>
    <t>Cumplimiento del procedimiento de PQRSD</t>
  </si>
  <si>
    <t>Para el periodo reportado, con corte de abril 30 de 2022, no se materializó el riesgo, se registró en SIAC 287 PQRSD, se cumplió con el procedimiento.</t>
  </si>
  <si>
    <t>Planillas diligenciadas y firmadas de la entrega de correspondencia con relación a las radicadas en SIAC</t>
  </si>
  <si>
    <t>Para el periodo reportado, con corte de abril 30 de 2022, no se materializó el riesgo, se tramitaron 30 préstamos cumpliendo con el procedimiento.</t>
  </si>
  <si>
    <t xml:space="preserve">Realizar gestiones para la adquisición, instalación y ajuste de archivadores rodantes  y deshumidificadores </t>
  </si>
  <si>
    <t>Por pérdida de información, deterioro o inadecuada manipulación (No acceso a la información pública,
Pérdida de la memoria institucional
Deterioro de la documentación)</t>
  </si>
  <si>
    <t xml:space="preserve"> Debido a procedimientos inadecuados frente a la gestión de la memoria institucional (Incumplimiento del procedimiento de préstamos por parte de los funcionarios del proceso, Manipulación de archivos de conservación total por ausencia de archivos digitalizados).</t>
  </si>
  <si>
    <t xml:space="preserve">Posibilidad de afectación económica y reputaciones por pérdida de información, deterioro o inadecuada manipulación, debido a procedimientos inadecuados frente a la gestión de la memoria institucional. 
                                   </t>
  </si>
  <si>
    <t xml:space="preserve">Durante los meses mayo, junio y julio se reportan 96 préstamos acorde al procedimiento de préstamos de documentos, estos se realizan de manera digital (solicitud a través de correo electrónico), físico (tarjeta de afuera). Se muestra evidencia la planilla en mención, y el formato "Formato de afuera". </t>
  </si>
  <si>
    <t>Desde el área se evidencia la radicación de 507 PQRSD, a través del SIAC; estas se radican por medios WEB, Físico y correo electrónico. Se muestra como evidencia la planilla de radicación de PQRSD (507) y el debido proceso de radicación según sea el caso, su tratamiento y disposición según procedimiento institucional. Riesgo no materializado a la fecha.</t>
  </si>
  <si>
    <t>El control se desarrolla desde el área de Planta Física, toda vez que el proceso precontractual y contractual que permite la materialización del control es liderado desde el área en mención.</t>
  </si>
  <si>
    <t>Se verifico la manera en que los integrantes del área soportan la información en la Nube de ONE DRIVE, se realiza de manera permanente acorde a las tareas y actividades diarias a realizar, se verificaron los dominios de cada integrante del proceso. Riesgo no materializado a la fecha.</t>
  </si>
  <si>
    <t xml:space="preserve">Esta actividad no ha tenido avance a la fecha del seguimiento, debido a que el proceso no se ha contratado.  
</t>
  </si>
  <si>
    <t>La verificación de los protocolos de limpieza se realizó con normalidad, evidencia de esto son las planillas que consolidan la información de las actividades realizadas, como evidencia se presenta las respectivas planillas.</t>
  </si>
  <si>
    <t>Desde el área se evidencia la respectiva solicitud a SST de los EPP necesarios para el área, estos se recibieron con normalidad y acorde a las actividades a realizar por el área, como evidencia se presenta correos enviados y planilla de recibido</t>
  </si>
  <si>
    <t xml:space="preserve">Durante los meses mayo, junio y julio se reportan 96 préstamos acorde al procedimiento de préstamos de documentos, estos se realizan de manera digital (solicitud a través de correo electrónico), físico (tarjeta de afuera). Se muestra evidencia la planilla en mención y el formato "Formato de afuera".
Riesgo no materializado a la fecha.
</t>
  </si>
  <si>
    <t xml:space="preserve">Mediante registro en planilla se realiza seguimiento y control al personal autorizado que accede a los documentos institucionales, como evidencia se muestra la planilla de control para los primeros 8 meses de la vigencia. </t>
  </si>
  <si>
    <t>Desde el área se indica que se realizó socialización a los 6 integrantes del área a través de un formato físico el cual fue leído y asumido por cada integrante. Se evidencia los formatos firmados.</t>
  </si>
  <si>
    <t>El lider del proceso cuenta con la planilla de registro la cual inicia el 10 de febreo y a fecha de seguimiento el ultimo registro el del 2 de noviembre con 104 registros durante la vigencia, observando el cumplimiento del procedimiento con la verificacion de un prestamo.</t>
  </si>
  <si>
    <t>El líder del proceso cuenta con la planilla de registro, la cual inicia el 10 de febrero y a fecha de seguimiento el último registro es del 2 de noviembre, con 104 registros durante la vigencia, observando el cumplimiento del procedimiento con la verificación de un préstamo. Lo que contribuye con la mitigación del riesgo identificado.</t>
  </si>
  <si>
    <t>Se cuenta con las planillas de entrega de correspondencia física desde el día 21 de enero al 31 de octubre del año en curso, así mismo, se observó que en el aplicativo SIAC se cuenta con 705 radicados, de igual modo, se evidenciaron 719 respuestas dado que al inicio de la vigencia se respondieron solicitudes que se encontraban en termino radicadas al finalizar la vigencia. Acción que contribuye con la mitigación del riesgo identificado.</t>
  </si>
  <si>
    <t>Se cuenta con el correo de envió de los Estudios Previos a gestión de adquisiciones el día 7 de julio del año en curso con el fin de gestionar las acciones necesarias para la suscripción del contrato para la adquisición, instalación y ajuste de archivadores rodantes y deshumidificadores, sin embargo, de acuerdo a lo manifestado por la profesional que lidera el proceso, desde la Oficina Asesora de Planeación no fue asignado el recurso para dar continuidad con el proceso,  posteriormente en el mes de octubre fueron remitidos nuevamente los EP. Actividad que requiere ser fortalecida con la articulación de la Oficina Asesora de Planeación, Vicerrectoría Administrativa y Financiera y Gestión de Adquisiciones.</t>
  </si>
  <si>
    <t>Se cuenta con los documentos del proceso en el One Drive con TRD, borrador de política de gestión documental, estudios previos, soportes de auditorías, procedimientos, contratos de supervisión a cargo, entre otros documentos adelantados en la gestión del proceso. Acción que contribuye con la mitigación del  riesgo identificado.</t>
  </si>
  <si>
    <t>Se cuenta con correo del 25 de febrero, en el que fue informada el área de Gestión ambiental, y Seguridad y Salud en el Trabajo, de la presencia de roedores en el archivo, el cual fue respondido el 28 de febrero por la profesional de Gestión Ambiental, así mismo, fue remitida la solicitud a gestión documental el día 8 de marzo de 2022, y posteriormente se reiteró el 28 de marzo la solicitud, la cual a la fecha del seguimiento no fue respondida. A pesar de estar dentro del plan de acción, plan de necesidades y el PGD como acción de conservación documental. Acción que requiere ser fortalecida con la articulación de los procesos de Gestión Ambiental, Seguridad y Salud en el Trabajo y la Vicerrectoría Administrativa y Financiera.</t>
  </si>
  <si>
    <t>Se cuenta con el correo de solicitud de elementos de protección personal al profesional de SST de fecha 17 de febrero de 2022, de guantes, gorro, gafas de seguridad y tapabocas. para la vigencia en curso, adicional se respondió desde el area con la entrega al día siguiente es decir el 18 de febrero de 2022. Actividad que contribuye con la mitigación del riesgo identificado.</t>
  </si>
  <si>
    <t>El líder del proceso cuenta con las planillas de asistencia del personal de aseo de los meses de julio, agosto, septiembre y a fecha de este seguimiento se cuenta con el último registro el 31 de octubre del año en curso, observando que la ejecución debería como mínimo realizarse 2 veces a la semana no obstante, en las planillas su ejecución semanal. Acción que requiere ser fortalecida.</t>
  </si>
  <si>
    <t xml:space="preserve">Se cuenta con la planilla de control de registros de acceso al archivo central, con 14 ingresos desde el 1 de marzo al 3 de noviembre del año en curso, actividad que contribuye con la mitigación del riesgo de manipular, incluir o extraer documentos a cualquier expediente en custodia del archivo central. </t>
  </si>
  <si>
    <t xml:space="preserve">Se evidencio el oficio emitido el día 3 de febrero de 2022 con el compromiso del manejo de la información tanto en atención al ciudadano como de gestión documental, firmado por los 5 integrantes del grupo de trabajo de Gestión Documental como constancia de su notificación. Acción que contribuye con la mitigación del riesgo identificado.  </t>
  </si>
  <si>
    <t>Fecha de actualización  03/11/2022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</si>
</sst>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3" fillId="0" borderId="0" applyFont="0" applyFill="0" applyBorder="0" applyAlignment="0" applyProtection="0"/>
    <xf numFmtId="0" fontId="45" fillId="0" borderId="0"/>
    <xf numFmtId="0" fontId="46" fillId="0" borderId="0"/>
    <xf numFmtId="0" fontId="5" fillId="0" borderId="0"/>
  </cellStyleXfs>
  <cellXfs count="427">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1"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0" xfId="0" applyFont="1" applyFill="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22" fillId="13" borderId="12"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5"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2" fillId="3" borderId="0" xfId="0" applyFont="1" applyFill="1"/>
    <xf numFmtId="0" fontId="29"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4" fontId="1" fillId="0" borderId="21" xfId="0" applyNumberFormat="1" applyFont="1" applyBorder="1" applyAlignment="1" applyProtection="1">
      <alignment horizontal="center" vertical="center"/>
      <protection locked="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4" xfId="0" applyFont="1" applyBorder="1" applyAlignment="1">
      <alignment horizontal="center" vertical="center" wrapText="1"/>
    </xf>
    <xf numFmtId="0" fontId="64" fillId="0" borderId="74" xfId="0" applyFont="1" applyBorder="1" applyAlignment="1">
      <alignment vertical="center" wrapText="1"/>
    </xf>
    <xf numFmtId="0" fontId="1" fillId="0" borderId="2" xfId="0" applyFont="1" applyBorder="1" applyAlignment="1">
      <alignment horizontal="center" vertical="center"/>
    </xf>
    <xf numFmtId="0" fontId="60" fillId="7" borderId="21" xfId="0" applyFont="1" applyFill="1" applyBorder="1" applyAlignment="1">
      <alignment horizontal="center" vertical="center" textRotation="90"/>
    </xf>
    <xf numFmtId="0" fontId="1" fillId="0" borderId="21" xfId="0" applyFont="1" applyBorder="1" applyAlignment="1" applyProtection="1">
      <alignment horizontal="center" vertical="top" wrapText="1"/>
      <protection locked="0"/>
    </xf>
    <xf numFmtId="0" fontId="1" fillId="0" borderId="21" xfId="0" applyFont="1" applyBorder="1" applyAlignment="1" applyProtection="1">
      <alignment horizontal="center" vertical="top"/>
      <protection hidden="1"/>
    </xf>
    <xf numFmtId="0" fontId="1"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14" fontId="1" fillId="0" borderId="21" xfId="0" applyNumberFormat="1" applyFont="1" applyBorder="1" applyAlignment="1" applyProtection="1">
      <alignment horizontal="center" vertical="top" wrapText="1"/>
      <protection locked="0"/>
    </xf>
    <xf numFmtId="0" fontId="60" fillId="7" borderId="21" xfId="0" applyFont="1" applyFill="1" applyBorder="1" applyAlignment="1">
      <alignment horizontal="center" vertical="center"/>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0" fillId="7" borderId="75" xfId="0" applyFont="1" applyFill="1" applyBorder="1" applyAlignment="1">
      <alignment horizontal="center" vertical="center" textRotation="90"/>
    </xf>
    <xf numFmtId="0" fontId="60" fillId="7" borderId="75" xfId="0" applyFont="1" applyFill="1" applyBorder="1" applyAlignment="1">
      <alignment horizontal="center" vertical="center"/>
    </xf>
    <xf numFmtId="0" fontId="60" fillId="7" borderId="75" xfId="0" applyFont="1" applyFill="1" applyBorder="1" applyAlignment="1">
      <alignment horizontal="center" vertical="center" wrapText="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9" fontId="1" fillId="0" borderId="21" xfId="0" applyNumberFormat="1" applyFont="1" applyBorder="1" applyAlignment="1" applyProtection="1">
      <alignment horizontal="left" vertical="top"/>
      <protection hidden="1"/>
    </xf>
    <xf numFmtId="0" fontId="4" fillId="0" borderId="21" xfId="0" applyFont="1" applyBorder="1" applyAlignment="1" applyProtection="1">
      <alignment horizontal="left" vertical="top" textRotation="90"/>
      <protection hidden="1"/>
    </xf>
    <xf numFmtId="0" fontId="60" fillId="7" borderId="21" xfId="0" applyFont="1" applyFill="1" applyBorder="1" applyAlignment="1">
      <alignment horizontal="left" vertical="center" textRotation="90" wrapText="1"/>
    </xf>
    <xf numFmtId="0" fontId="0" fillId="0" borderId="0" xfId="0" applyAlignment="1">
      <alignment horizontal="left" wrapText="1"/>
    </xf>
    <xf numFmtId="0" fontId="65" fillId="0" borderId="0" xfId="0" applyFont="1" applyAlignment="1">
      <alignment horizontal="left" vertical="center" wrapText="1"/>
    </xf>
    <xf numFmtId="0" fontId="1" fillId="0" borderId="0" xfId="0" applyFont="1" applyAlignment="1">
      <alignment horizontal="left"/>
    </xf>
    <xf numFmtId="9" fontId="1" fillId="0" borderId="21" xfId="1" applyFont="1" applyBorder="1" applyAlignment="1">
      <alignment horizontal="left" vertical="top" wrapText="1"/>
    </xf>
    <xf numFmtId="9" fontId="1" fillId="0" borderId="21" xfId="0" applyNumberFormat="1" applyFont="1" applyBorder="1" applyAlignment="1" applyProtection="1">
      <alignment horizontal="left" vertical="top" wrapText="1"/>
      <protection hidden="1"/>
    </xf>
    <xf numFmtId="0" fontId="60" fillId="7" borderId="21" xfId="0" applyFont="1" applyFill="1" applyBorder="1" applyAlignment="1">
      <alignment horizontal="left" vertical="top" wrapText="1"/>
    </xf>
    <xf numFmtId="0" fontId="1" fillId="0" borderId="21" xfId="0" applyFont="1" applyBorder="1" applyAlignment="1" applyProtection="1">
      <alignment horizontal="left" vertical="top" wrapText="1"/>
      <protection locked="0"/>
    </xf>
    <xf numFmtId="0" fontId="45" fillId="0" borderId="0" xfId="0" applyFont="1" applyAlignment="1">
      <alignment horizontal="left" vertical="top" wrapText="1"/>
    </xf>
    <xf numFmtId="0" fontId="65"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2" fillId="0" borderId="21" xfId="0" applyFont="1" applyBorder="1" applyAlignment="1" applyProtection="1">
      <alignment horizontal="center" vertical="center" wrapText="1"/>
      <protection locked="0"/>
    </xf>
    <xf numFmtId="9" fontId="1" fillId="0" borderId="75" xfId="0" applyNumberFormat="1" applyFont="1" applyBorder="1" applyAlignment="1" applyProtection="1">
      <alignment horizontal="left" vertical="center" wrapText="1"/>
      <protection hidden="1"/>
    </xf>
    <xf numFmtId="0" fontId="4" fillId="0" borderId="75" xfId="0" applyFont="1" applyBorder="1" applyAlignment="1" applyProtection="1">
      <alignment horizontal="left" vertical="center" wrapText="1"/>
      <protection hidden="1"/>
    </xf>
    <xf numFmtId="0" fontId="4" fillId="0" borderId="75" xfId="0" applyFont="1" applyBorder="1" applyAlignment="1" applyProtection="1">
      <alignment horizontal="left" vertical="center"/>
      <protection hidden="1"/>
    </xf>
    <xf numFmtId="9" fontId="1" fillId="0" borderId="21" xfId="0" applyNumberFormat="1"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14" fontId="1" fillId="0" borderId="21" xfId="0" applyNumberFormat="1" applyFont="1" applyBorder="1" applyAlignment="1" applyProtection="1">
      <alignment horizontal="center" vertical="center" wrapText="1"/>
      <protection locked="0"/>
    </xf>
    <xf numFmtId="0" fontId="1" fillId="13" borderId="21" xfId="0" applyFont="1" applyFill="1" applyBorder="1" applyAlignment="1" applyProtection="1">
      <alignment horizontal="left" vertical="center" wrapText="1"/>
      <protection locked="0"/>
    </xf>
    <xf numFmtId="14" fontId="1" fillId="0" borderId="21" xfId="0" applyNumberFormat="1" applyFont="1" applyBorder="1" applyAlignment="1" applyProtection="1">
      <alignment horizontal="left" vertical="center" wrapText="1"/>
      <protection locked="0"/>
    </xf>
    <xf numFmtId="0" fontId="1" fillId="0" borderId="21" xfId="0" applyFont="1" applyBorder="1" applyAlignment="1" applyProtection="1">
      <alignment horizontal="center" vertical="center"/>
      <protection hidden="1"/>
    </xf>
    <xf numFmtId="0" fontId="1" fillId="0" borderId="0" xfId="0" applyFont="1" applyAlignment="1">
      <alignment horizontal="left"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xf>
    <xf numFmtId="9" fontId="1" fillId="0" borderId="21" xfId="0" applyNumberFormat="1" applyFont="1" applyBorder="1" applyAlignment="1" applyProtection="1">
      <alignment horizontal="center" vertical="center" wrapText="1"/>
      <protection locked="0"/>
    </xf>
    <xf numFmtId="0" fontId="56" fillId="0" borderId="67" xfId="0" applyFont="1" applyBorder="1" applyAlignment="1">
      <alignment horizontal="left" vertical="center"/>
    </xf>
    <xf numFmtId="0" fontId="56" fillId="0" borderId="66" xfId="0" applyFont="1" applyBorder="1" applyAlignment="1">
      <alignment horizontal="left" vertical="center"/>
    </xf>
    <xf numFmtId="0" fontId="56" fillId="0" borderId="63" xfId="0" applyFont="1" applyBorder="1" applyAlignment="1">
      <alignment horizontal="left" vertical="center"/>
    </xf>
    <xf numFmtId="0" fontId="56" fillId="0" borderId="64" xfId="0" applyFont="1" applyBorder="1" applyAlignment="1">
      <alignment horizontal="left" vertical="center"/>
    </xf>
    <xf numFmtId="0" fontId="56" fillId="0" borderId="68" xfId="0" applyFont="1" applyBorder="1" applyAlignment="1">
      <alignment horizontal="left" vertical="center"/>
    </xf>
    <xf numFmtId="0" fontId="56" fillId="0" borderId="65" xfId="0" applyFont="1" applyBorder="1" applyAlignment="1">
      <alignment horizontal="left" vertical="center"/>
    </xf>
    <xf numFmtId="0" fontId="61" fillId="0" borderId="72" xfId="0" applyFont="1" applyBorder="1" applyAlignment="1">
      <alignment horizontal="left" vertical="center" wrapText="1"/>
    </xf>
    <xf numFmtId="0" fontId="61" fillId="0" borderId="71" xfId="0" applyFont="1" applyBorder="1" applyAlignment="1">
      <alignment horizontal="left" vertical="center"/>
    </xf>
    <xf numFmtId="0" fontId="61" fillId="0" borderId="73" xfId="0" applyFont="1" applyBorder="1" applyAlignment="1">
      <alignment horizontal="left" vertical="center"/>
    </xf>
    <xf numFmtId="0" fontId="61" fillId="0" borderId="72" xfId="0" applyFont="1" applyBorder="1" applyAlignment="1">
      <alignment horizontal="left" vertical="center"/>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horizontal="left" vertical="center" textRotation="90" wrapText="1"/>
    </xf>
    <xf numFmtId="0" fontId="58" fillId="0" borderId="21" xfId="0" applyFont="1" applyBorder="1" applyAlignment="1" applyProtection="1">
      <alignment horizontal="center" wrapText="1"/>
      <protection locked="0"/>
    </xf>
    <xf numFmtId="0" fontId="64" fillId="0" borderId="74" xfId="0" applyFont="1" applyBorder="1" applyAlignment="1">
      <alignment horizontal="center" vertical="center" wrapText="1"/>
    </xf>
    <xf numFmtId="0" fontId="65" fillId="0" borderId="74" xfId="0" applyFont="1" applyBorder="1" applyAlignment="1">
      <alignment horizontal="center" vertical="center" wrapText="1"/>
    </xf>
    <xf numFmtId="0" fontId="48" fillId="0" borderId="72" xfId="0" applyFont="1" applyBorder="1" applyAlignment="1">
      <alignment horizontal="left" vertical="center" wrapText="1"/>
    </xf>
    <xf numFmtId="0" fontId="48" fillId="0" borderId="71" xfId="0" applyFont="1" applyBorder="1" applyAlignment="1">
      <alignment horizontal="left" vertical="center" wrapText="1"/>
    </xf>
    <xf numFmtId="0" fontId="48" fillId="0" borderId="73" xfId="0" applyFont="1" applyBorder="1" applyAlignment="1">
      <alignment horizontal="left" vertical="center" wrapText="1"/>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3" fillId="0" borderId="21" xfId="0" applyFont="1" applyBorder="1" applyAlignment="1">
      <alignment horizontal="left" vertical="center" wrapText="1"/>
    </xf>
    <xf numFmtId="0" fontId="60" fillId="7" borderId="21" xfId="0" applyFont="1" applyFill="1" applyBorder="1" applyAlignment="1">
      <alignment horizontal="center" vertical="center" textRotation="90"/>
    </xf>
    <xf numFmtId="9" fontId="1" fillId="0" borderId="21" xfId="0" applyNumberFormat="1" applyFont="1" applyBorder="1" applyAlignment="1" applyProtection="1">
      <alignment horizontal="center" vertical="center" wrapText="1"/>
      <protection hidden="1"/>
    </xf>
    <xf numFmtId="0" fontId="57" fillId="0" borderId="21" xfId="0" applyFont="1" applyBorder="1" applyAlignment="1" applyProtection="1">
      <alignment horizontal="center" vertical="center"/>
      <protection locked="0"/>
    </xf>
    <xf numFmtId="0" fontId="60" fillId="7" borderId="21" xfId="0" applyFont="1" applyFill="1" applyBorder="1" applyAlignment="1">
      <alignment horizontal="center" vertical="top" wrapText="1"/>
    </xf>
    <xf numFmtId="0" fontId="59" fillId="7" borderId="72" xfId="0" applyFont="1" applyFill="1" applyBorder="1" applyAlignment="1">
      <alignment horizontal="center" vertical="center"/>
    </xf>
    <xf numFmtId="0" fontId="59" fillId="7" borderId="73" xfId="0" applyFont="1" applyFill="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75" xfId="0" applyFont="1" applyBorder="1" applyAlignment="1">
      <alignment horizontal="center" vertical="center"/>
    </xf>
    <xf numFmtId="0" fontId="1" fillId="0" borderId="22" xfId="0" applyFont="1" applyBorder="1" applyAlignment="1">
      <alignment horizontal="center" vertical="center"/>
    </xf>
    <xf numFmtId="0" fontId="1" fillId="0" borderId="7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1" xfId="0" applyFont="1" applyBorder="1" applyAlignment="1" applyProtection="1">
      <alignment horizontal="center" vertical="center"/>
      <protection locked="0"/>
    </xf>
    <xf numFmtId="0" fontId="4" fillId="0" borderId="75" xfId="0" applyFont="1" applyBorder="1" applyAlignment="1" applyProtection="1">
      <alignment horizontal="left" vertical="center" wrapText="1"/>
      <protection hidden="1"/>
    </xf>
    <xf numFmtId="0" fontId="4" fillId="0" borderId="22" xfId="0" applyFont="1" applyBorder="1" applyAlignment="1" applyProtection="1">
      <alignment horizontal="left" vertical="center" wrapText="1"/>
      <protection hidden="1"/>
    </xf>
    <xf numFmtId="9" fontId="1" fillId="0" borderId="75" xfId="0" applyNumberFormat="1" applyFont="1" applyBorder="1" applyAlignment="1" applyProtection="1">
      <alignment horizontal="left" vertical="center" wrapText="1"/>
      <protection hidden="1"/>
    </xf>
    <xf numFmtId="9" fontId="1" fillId="0" borderId="22" xfId="0" applyNumberFormat="1" applyFont="1" applyBorder="1" applyAlignment="1" applyProtection="1">
      <alignment horizontal="left" vertical="center" wrapText="1"/>
      <protection hidden="1"/>
    </xf>
    <xf numFmtId="0" fontId="4" fillId="0" borderId="75" xfId="0" applyFont="1" applyBorder="1" applyAlignment="1" applyProtection="1">
      <alignment horizontal="center" vertical="center" wrapText="1"/>
      <protection hidden="1"/>
    </xf>
    <xf numFmtId="0" fontId="4" fillId="0" borderId="76"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9" fontId="1" fillId="0" borderId="76" xfId="0" applyNumberFormat="1" applyFont="1" applyBorder="1" applyAlignment="1" applyProtection="1">
      <alignment horizontal="left" vertical="center" wrapText="1"/>
      <protection hidden="1"/>
    </xf>
    <xf numFmtId="0" fontId="1" fillId="16" borderId="75" xfId="0" applyFont="1" applyFill="1" applyBorder="1" applyAlignment="1">
      <alignment horizontal="center" vertical="center"/>
    </xf>
    <xf numFmtId="0" fontId="1" fillId="16" borderId="76" xfId="0" applyFont="1" applyFill="1" applyBorder="1" applyAlignment="1">
      <alignment horizontal="center" vertical="center"/>
    </xf>
    <xf numFmtId="0" fontId="1" fillId="16" borderId="22" xfId="0" applyFont="1" applyFill="1" applyBorder="1" applyAlignment="1">
      <alignment horizontal="center" vertical="center"/>
    </xf>
    <xf numFmtId="0" fontId="1" fillId="0" borderId="76" xfId="0" applyFont="1" applyBorder="1" applyAlignment="1">
      <alignment horizontal="center" vertical="center"/>
    </xf>
    <xf numFmtId="0" fontId="1" fillId="0" borderId="76" xfId="0" applyFont="1" applyBorder="1" applyAlignment="1">
      <alignment horizontal="center" vertical="center" wrapText="1"/>
    </xf>
    <xf numFmtId="0" fontId="1" fillId="0" borderId="75" xfId="0" applyFont="1" applyBorder="1" applyAlignment="1" applyProtection="1">
      <alignment horizontal="center" vertical="center" wrapText="1"/>
      <protection locked="0"/>
    </xf>
    <xf numFmtId="0" fontId="1" fillId="0" borderId="76"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9" fontId="1" fillId="0" borderId="75" xfId="0" applyNumberFormat="1" applyFont="1" applyBorder="1" applyAlignment="1" applyProtection="1">
      <alignment horizontal="left" vertical="center" wrapText="1"/>
      <protection locked="0"/>
    </xf>
    <xf numFmtId="9" fontId="1" fillId="0" borderId="22" xfId="0" applyNumberFormat="1" applyFont="1" applyBorder="1" applyAlignment="1" applyProtection="1">
      <alignment horizontal="left" vertical="center" wrapText="1"/>
      <protection locked="0"/>
    </xf>
    <xf numFmtId="0" fontId="4" fillId="0" borderId="21" xfId="0" applyFont="1" applyBorder="1" applyAlignment="1" applyProtection="1">
      <alignment horizontal="center" vertical="center" wrapText="1"/>
      <protection hidden="1"/>
    </xf>
    <xf numFmtId="0" fontId="4" fillId="0" borderId="75" xfId="0" applyFont="1" applyBorder="1" applyAlignment="1" applyProtection="1">
      <alignment horizontal="left" vertical="center"/>
      <protection hidden="1"/>
    </xf>
    <xf numFmtId="0" fontId="4" fillId="0" borderId="22" xfId="0" applyFont="1" applyBorder="1" applyAlignment="1" applyProtection="1">
      <alignment horizontal="left" vertical="center"/>
      <protection hidden="1"/>
    </xf>
    <xf numFmtId="9" fontId="1" fillId="0" borderId="76" xfId="0" applyNumberFormat="1"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hidden="1"/>
    </xf>
    <xf numFmtId="0" fontId="4" fillId="0" borderId="76" xfId="0" applyFont="1" applyBorder="1" applyAlignment="1" applyProtection="1">
      <alignment horizontal="left" vertical="center"/>
      <protection hidden="1"/>
    </xf>
    <xf numFmtId="0" fontId="24" fillId="0" borderId="0" xfId="0" applyFont="1" applyAlignment="1">
      <alignment horizontal="center" vertical="center" wrapText="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1"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57</xdr:row>
      <xdr:rowOff>74706</xdr:rowOff>
    </xdr:from>
    <xdr:to>
      <xdr:col>1</xdr:col>
      <xdr:colOff>444192</xdr:colOff>
      <xdr:row>61</xdr:row>
      <xdr:rowOff>6598</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141765"/>
          <a:ext cx="761692" cy="75365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Users/plandeaccion/OneDrive%20-%20Escuela%20Tecnologica%20Instituto%20Tecnico%20Central/A.%20Vigencia%202022/PAAC%202022/2&#186;%20L&#204;NEA%20DE%20DEFENCSA/GESTI&#211;N%20DE%20RECURSOS%20F&#205;SIC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2/PAAC%202022/2&#186;%20L&#204;NEA%20DE%20DEFENCSA/GESTI&#211;N%20DE%20RECURSOS%20F&#205;SIC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DRES/Downloads/Matriz%20de%20riesgos_RECURSOS%20F&#205;SICOS%20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e">
            <v>#NAME?</v>
          </cell>
        </row>
        <row r="222">
          <cell r="B222" t="e">
            <v>#NAME?</v>
          </cell>
        </row>
        <row r="223">
          <cell r="B223" t="e">
            <v>#NAME?</v>
          </cell>
          <cell r="F223" t="str">
            <v>❌</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Impacto"/>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Impac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4" zoomScale="130" zoomScaleNormal="130" workbookViewId="0">
      <selection activeCell="E34" sqref="E34:F34"/>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76" t="s">
        <v>163</v>
      </c>
      <c r="C2" s="177"/>
      <c r="D2" s="177"/>
      <c r="E2" s="177"/>
      <c r="F2" s="177"/>
      <c r="G2" s="177"/>
      <c r="H2" s="178"/>
    </row>
    <row r="3" spans="2:8" x14ac:dyDescent="0.25">
      <c r="B3" s="76"/>
      <c r="C3" s="77"/>
      <c r="D3" s="77"/>
      <c r="E3" s="77"/>
      <c r="F3" s="77"/>
      <c r="G3" s="77"/>
      <c r="H3" s="78"/>
    </row>
    <row r="4" spans="2:8" ht="63" customHeight="1" x14ac:dyDescent="0.25">
      <c r="B4" s="179" t="s">
        <v>206</v>
      </c>
      <c r="C4" s="180"/>
      <c r="D4" s="180"/>
      <c r="E4" s="180"/>
      <c r="F4" s="180"/>
      <c r="G4" s="180"/>
      <c r="H4" s="181"/>
    </row>
    <row r="5" spans="2:8" ht="63" customHeight="1" x14ac:dyDescent="0.25">
      <c r="B5" s="182"/>
      <c r="C5" s="183"/>
      <c r="D5" s="183"/>
      <c r="E5" s="183"/>
      <c r="F5" s="183"/>
      <c r="G5" s="183"/>
      <c r="H5" s="184"/>
    </row>
    <row r="6" spans="2:8" ht="16.5" x14ac:dyDescent="0.25">
      <c r="B6" s="185" t="s">
        <v>161</v>
      </c>
      <c r="C6" s="186"/>
      <c r="D6" s="186"/>
      <c r="E6" s="186"/>
      <c r="F6" s="186"/>
      <c r="G6" s="186"/>
      <c r="H6" s="187"/>
    </row>
    <row r="7" spans="2:8" ht="95.25" customHeight="1" x14ac:dyDescent="0.25">
      <c r="B7" s="195" t="s">
        <v>166</v>
      </c>
      <c r="C7" s="196"/>
      <c r="D7" s="196"/>
      <c r="E7" s="196"/>
      <c r="F7" s="196"/>
      <c r="G7" s="196"/>
      <c r="H7" s="197"/>
    </row>
    <row r="8" spans="2:8" ht="16.5" x14ac:dyDescent="0.25">
      <c r="B8" s="112"/>
      <c r="C8" s="113"/>
      <c r="D8" s="113"/>
      <c r="E8" s="113"/>
      <c r="F8" s="113"/>
      <c r="G8" s="113"/>
      <c r="H8" s="114"/>
    </row>
    <row r="9" spans="2:8" ht="16.5" customHeight="1" x14ac:dyDescent="0.25">
      <c r="B9" s="188" t="s">
        <v>199</v>
      </c>
      <c r="C9" s="189"/>
      <c r="D9" s="189"/>
      <c r="E9" s="189"/>
      <c r="F9" s="189"/>
      <c r="G9" s="189"/>
      <c r="H9" s="190"/>
    </row>
    <row r="10" spans="2:8" ht="44.25" customHeight="1" x14ac:dyDescent="0.25">
      <c r="B10" s="188"/>
      <c r="C10" s="189"/>
      <c r="D10" s="189"/>
      <c r="E10" s="189"/>
      <c r="F10" s="189"/>
      <c r="G10" s="189"/>
      <c r="H10" s="190"/>
    </row>
    <row r="11" spans="2:8" ht="15.75" thickBot="1" x14ac:dyDescent="0.3">
      <c r="B11" s="101"/>
      <c r="C11" s="104"/>
      <c r="D11" s="109"/>
      <c r="E11" s="110"/>
      <c r="F11" s="110"/>
      <c r="G11" s="111"/>
      <c r="H11" s="105"/>
    </row>
    <row r="12" spans="2:8" ht="15.75" thickTop="1" x14ac:dyDescent="0.25">
      <c r="B12" s="101"/>
      <c r="C12" s="191" t="s">
        <v>162</v>
      </c>
      <c r="D12" s="192"/>
      <c r="E12" s="193" t="s">
        <v>200</v>
      </c>
      <c r="F12" s="194"/>
      <c r="G12" s="104"/>
      <c r="H12" s="105"/>
    </row>
    <row r="13" spans="2:8" ht="35.25" customHeight="1" x14ac:dyDescent="0.25">
      <c r="B13" s="101"/>
      <c r="C13" s="198" t="s">
        <v>193</v>
      </c>
      <c r="D13" s="199"/>
      <c r="E13" s="200" t="s">
        <v>198</v>
      </c>
      <c r="F13" s="201"/>
      <c r="G13" s="104"/>
      <c r="H13" s="105"/>
    </row>
    <row r="14" spans="2:8" ht="17.25" customHeight="1" x14ac:dyDescent="0.25">
      <c r="B14" s="101"/>
      <c r="C14" s="198" t="s">
        <v>194</v>
      </c>
      <c r="D14" s="199"/>
      <c r="E14" s="200" t="s">
        <v>196</v>
      </c>
      <c r="F14" s="201"/>
      <c r="G14" s="104"/>
      <c r="H14" s="105"/>
    </row>
    <row r="15" spans="2:8" ht="19.5" customHeight="1" x14ac:dyDescent="0.25">
      <c r="B15" s="101"/>
      <c r="C15" s="198" t="s">
        <v>195</v>
      </c>
      <c r="D15" s="199"/>
      <c r="E15" s="200" t="s">
        <v>197</v>
      </c>
      <c r="F15" s="201"/>
      <c r="G15" s="104"/>
      <c r="H15" s="105"/>
    </row>
    <row r="16" spans="2:8" ht="69.75" customHeight="1" x14ac:dyDescent="0.25">
      <c r="B16" s="101"/>
      <c r="C16" s="198" t="s">
        <v>164</v>
      </c>
      <c r="D16" s="199"/>
      <c r="E16" s="200" t="s">
        <v>165</v>
      </c>
      <c r="F16" s="201"/>
      <c r="G16" s="104"/>
      <c r="H16" s="105"/>
    </row>
    <row r="17" spans="2:8" ht="34.5" customHeight="1" x14ac:dyDescent="0.25">
      <c r="B17" s="101"/>
      <c r="C17" s="202" t="s">
        <v>2</v>
      </c>
      <c r="D17" s="203"/>
      <c r="E17" s="204" t="s">
        <v>207</v>
      </c>
      <c r="F17" s="205"/>
      <c r="G17" s="104"/>
      <c r="H17" s="105"/>
    </row>
    <row r="18" spans="2:8" ht="27.75" customHeight="1" x14ac:dyDescent="0.25">
      <c r="B18" s="101"/>
      <c r="C18" s="202" t="s">
        <v>3</v>
      </c>
      <c r="D18" s="203"/>
      <c r="E18" s="204" t="s">
        <v>208</v>
      </c>
      <c r="F18" s="205"/>
      <c r="G18" s="104"/>
      <c r="H18" s="105"/>
    </row>
    <row r="19" spans="2:8" ht="28.5" customHeight="1" x14ac:dyDescent="0.25">
      <c r="B19" s="101"/>
      <c r="C19" s="202" t="s">
        <v>41</v>
      </c>
      <c r="D19" s="203"/>
      <c r="E19" s="204" t="s">
        <v>209</v>
      </c>
      <c r="F19" s="205"/>
      <c r="G19" s="104"/>
      <c r="H19" s="105"/>
    </row>
    <row r="20" spans="2:8" ht="72.75" customHeight="1" x14ac:dyDescent="0.25">
      <c r="B20" s="101"/>
      <c r="C20" s="202" t="s">
        <v>1</v>
      </c>
      <c r="D20" s="203"/>
      <c r="E20" s="204" t="s">
        <v>210</v>
      </c>
      <c r="F20" s="205"/>
      <c r="G20" s="104"/>
      <c r="H20" s="105"/>
    </row>
    <row r="21" spans="2:8" ht="64.5" customHeight="1" x14ac:dyDescent="0.25">
      <c r="B21" s="101"/>
      <c r="C21" s="202" t="s">
        <v>49</v>
      </c>
      <c r="D21" s="203"/>
      <c r="E21" s="204" t="s">
        <v>168</v>
      </c>
      <c r="F21" s="205"/>
      <c r="G21" s="104"/>
      <c r="H21" s="105"/>
    </row>
    <row r="22" spans="2:8" ht="71.25" customHeight="1" x14ac:dyDescent="0.25">
      <c r="B22" s="101"/>
      <c r="C22" s="202" t="s">
        <v>167</v>
      </c>
      <c r="D22" s="203"/>
      <c r="E22" s="204" t="s">
        <v>169</v>
      </c>
      <c r="F22" s="205"/>
      <c r="G22" s="104"/>
      <c r="H22" s="105"/>
    </row>
    <row r="23" spans="2:8" ht="55.5" customHeight="1" x14ac:dyDescent="0.25">
      <c r="B23" s="101"/>
      <c r="C23" s="209" t="s">
        <v>170</v>
      </c>
      <c r="D23" s="210"/>
      <c r="E23" s="204" t="s">
        <v>171</v>
      </c>
      <c r="F23" s="205"/>
      <c r="G23" s="104"/>
      <c r="H23" s="105"/>
    </row>
    <row r="24" spans="2:8" ht="42" customHeight="1" x14ac:dyDescent="0.25">
      <c r="B24" s="101"/>
      <c r="C24" s="209" t="s">
        <v>47</v>
      </c>
      <c r="D24" s="210"/>
      <c r="E24" s="204" t="s">
        <v>172</v>
      </c>
      <c r="F24" s="205"/>
      <c r="G24" s="104"/>
      <c r="H24" s="105"/>
    </row>
    <row r="25" spans="2:8" ht="59.25" customHeight="1" x14ac:dyDescent="0.25">
      <c r="B25" s="101"/>
      <c r="C25" s="209" t="s">
        <v>160</v>
      </c>
      <c r="D25" s="210"/>
      <c r="E25" s="204" t="s">
        <v>173</v>
      </c>
      <c r="F25" s="205"/>
      <c r="G25" s="104"/>
      <c r="H25" s="105"/>
    </row>
    <row r="26" spans="2:8" ht="23.25" customHeight="1" x14ac:dyDescent="0.25">
      <c r="B26" s="101"/>
      <c r="C26" s="209" t="s">
        <v>12</v>
      </c>
      <c r="D26" s="210"/>
      <c r="E26" s="204" t="s">
        <v>174</v>
      </c>
      <c r="F26" s="205"/>
      <c r="G26" s="104"/>
      <c r="H26" s="105"/>
    </row>
    <row r="27" spans="2:8" ht="30.75" customHeight="1" x14ac:dyDescent="0.25">
      <c r="B27" s="101"/>
      <c r="C27" s="209" t="s">
        <v>178</v>
      </c>
      <c r="D27" s="210"/>
      <c r="E27" s="204" t="s">
        <v>175</v>
      </c>
      <c r="F27" s="205"/>
      <c r="G27" s="104"/>
      <c r="H27" s="105"/>
    </row>
    <row r="28" spans="2:8" ht="35.25" customHeight="1" x14ac:dyDescent="0.25">
      <c r="B28" s="101"/>
      <c r="C28" s="209" t="s">
        <v>179</v>
      </c>
      <c r="D28" s="210"/>
      <c r="E28" s="204" t="s">
        <v>176</v>
      </c>
      <c r="F28" s="205"/>
      <c r="G28" s="104"/>
      <c r="H28" s="105"/>
    </row>
    <row r="29" spans="2:8" ht="33" customHeight="1" x14ac:dyDescent="0.25">
      <c r="B29" s="101"/>
      <c r="C29" s="209" t="s">
        <v>179</v>
      </c>
      <c r="D29" s="210"/>
      <c r="E29" s="204" t="s">
        <v>176</v>
      </c>
      <c r="F29" s="205"/>
      <c r="G29" s="104"/>
      <c r="H29" s="105"/>
    </row>
    <row r="30" spans="2:8" ht="30" customHeight="1" x14ac:dyDescent="0.25">
      <c r="B30" s="101"/>
      <c r="C30" s="209" t="s">
        <v>180</v>
      </c>
      <c r="D30" s="210"/>
      <c r="E30" s="204" t="s">
        <v>177</v>
      </c>
      <c r="F30" s="205"/>
      <c r="G30" s="104"/>
      <c r="H30" s="105"/>
    </row>
    <row r="31" spans="2:8" ht="35.25" customHeight="1" x14ac:dyDescent="0.25">
      <c r="B31" s="101"/>
      <c r="C31" s="209" t="s">
        <v>181</v>
      </c>
      <c r="D31" s="210"/>
      <c r="E31" s="204" t="s">
        <v>182</v>
      </c>
      <c r="F31" s="205"/>
      <c r="G31" s="104"/>
      <c r="H31" s="105"/>
    </row>
    <row r="32" spans="2:8" ht="31.5" customHeight="1" x14ac:dyDescent="0.25">
      <c r="B32" s="101"/>
      <c r="C32" s="209" t="s">
        <v>183</v>
      </c>
      <c r="D32" s="210"/>
      <c r="E32" s="204" t="s">
        <v>184</v>
      </c>
      <c r="F32" s="205"/>
      <c r="G32" s="104"/>
      <c r="H32" s="105"/>
    </row>
    <row r="33" spans="2:8" ht="35.25" customHeight="1" x14ac:dyDescent="0.25">
      <c r="B33" s="101"/>
      <c r="C33" s="209" t="s">
        <v>185</v>
      </c>
      <c r="D33" s="210"/>
      <c r="E33" s="204" t="s">
        <v>186</v>
      </c>
      <c r="F33" s="205"/>
      <c r="G33" s="104"/>
      <c r="H33" s="105"/>
    </row>
    <row r="34" spans="2:8" ht="59.25" customHeight="1" x14ac:dyDescent="0.25">
      <c r="B34" s="101"/>
      <c r="C34" s="209" t="s">
        <v>187</v>
      </c>
      <c r="D34" s="210"/>
      <c r="E34" s="204" t="s">
        <v>188</v>
      </c>
      <c r="F34" s="205"/>
      <c r="G34" s="104"/>
      <c r="H34" s="105"/>
    </row>
    <row r="35" spans="2:8" ht="29.25" customHeight="1" x14ac:dyDescent="0.25">
      <c r="B35" s="101"/>
      <c r="C35" s="209" t="s">
        <v>29</v>
      </c>
      <c r="D35" s="210"/>
      <c r="E35" s="204" t="s">
        <v>189</v>
      </c>
      <c r="F35" s="205"/>
      <c r="G35" s="104"/>
      <c r="H35" s="105"/>
    </row>
    <row r="36" spans="2:8" ht="82.5" customHeight="1" x14ac:dyDescent="0.25">
      <c r="B36" s="101"/>
      <c r="C36" s="209" t="s">
        <v>191</v>
      </c>
      <c r="D36" s="210"/>
      <c r="E36" s="204" t="s">
        <v>190</v>
      </c>
      <c r="F36" s="205"/>
      <c r="G36" s="104"/>
      <c r="H36" s="105"/>
    </row>
    <row r="37" spans="2:8" ht="46.5" customHeight="1" x14ac:dyDescent="0.25">
      <c r="B37" s="101"/>
      <c r="C37" s="209" t="s">
        <v>38</v>
      </c>
      <c r="D37" s="210"/>
      <c r="E37" s="204" t="s">
        <v>192</v>
      </c>
      <c r="F37" s="205"/>
      <c r="G37" s="104"/>
      <c r="H37" s="105"/>
    </row>
    <row r="38" spans="2:8" ht="6.75" customHeight="1" thickBot="1" x14ac:dyDescent="0.3">
      <c r="B38" s="101"/>
      <c r="C38" s="211"/>
      <c r="D38" s="212"/>
      <c r="E38" s="213"/>
      <c r="F38" s="214"/>
      <c r="G38" s="104"/>
      <c r="H38" s="105"/>
    </row>
    <row r="39" spans="2:8" ht="15.75" thickTop="1" x14ac:dyDescent="0.25">
      <c r="B39" s="101"/>
      <c r="C39" s="102"/>
      <c r="D39" s="102"/>
      <c r="E39" s="103"/>
      <c r="F39" s="103"/>
      <c r="G39" s="104"/>
      <c r="H39" s="105"/>
    </row>
    <row r="40" spans="2:8" ht="21" customHeight="1" x14ac:dyDescent="0.25">
      <c r="B40" s="206" t="s">
        <v>201</v>
      </c>
      <c r="C40" s="207"/>
      <c r="D40" s="207"/>
      <c r="E40" s="207"/>
      <c r="F40" s="207"/>
      <c r="G40" s="207"/>
      <c r="H40" s="208"/>
    </row>
    <row r="41" spans="2:8" ht="20.25" customHeight="1" x14ac:dyDescent="0.25">
      <c r="B41" s="206" t="s">
        <v>202</v>
      </c>
      <c r="C41" s="207"/>
      <c r="D41" s="207"/>
      <c r="E41" s="207"/>
      <c r="F41" s="207"/>
      <c r="G41" s="207"/>
      <c r="H41" s="208"/>
    </row>
    <row r="42" spans="2:8" ht="20.25" customHeight="1" x14ac:dyDescent="0.25">
      <c r="B42" s="206" t="s">
        <v>203</v>
      </c>
      <c r="C42" s="207"/>
      <c r="D42" s="207"/>
      <c r="E42" s="207"/>
      <c r="F42" s="207"/>
      <c r="G42" s="207"/>
      <c r="H42" s="208"/>
    </row>
    <row r="43" spans="2:8" ht="20.25" customHeight="1" x14ac:dyDescent="0.25">
      <c r="B43" s="206" t="s">
        <v>204</v>
      </c>
      <c r="C43" s="207"/>
      <c r="D43" s="207"/>
      <c r="E43" s="207"/>
      <c r="F43" s="207"/>
      <c r="G43" s="207"/>
      <c r="H43" s="208"/>
    </row>
    <row r="44" spans="2:8" x14ac:dyDescent="0.25">
      <c r="B44" s="206" t="s">
        <v>205</v>
      </c>
      <c r="C44" s="207"/>
      <c r="D44" s="207"/>
      <c r="E44" s="207"/>
      <c r="F44" s="207"/>
      <c r="G44" s="207"/>
      <c r="H44" s="208"/>
    </row>
    <row r="45" spans="2:8" ht="15.75" thickBot="1" x14ac:dyDescent="0.3">
      <c r="B45" s="106"/>
      <c r="C45" s="107"/>
      <c r="D45" s="107"/>
      <c r="E45" s="107"/>
      <c r="F45" s="107"/>
      <c r="G45" s="107"/>
      <c r="H45" s="10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U28"/>
  <sheetViews>
    <sheetView showGridLines="0" tabSelected="1" topLeftCell="A2" zoomScale="95" zoomScaleNormal="95" workbookViewId="0">
      <selection activeCell="C5" sqref="C5:AU5"/>
    </sheetView>
  </sheetViews>
  <sheetFormatPr baseColWidth="10" defaultColWidth="11.42578125" defaultRowHeight="16.5" x14ac:dyDescent="0.3"/>
  <cols>
    <col min="1" max="1" width="4.7109375" style="2" customWidth="1"/>
    <col min="2" max="2" width="12" style="2" customWidth="1"/>
    <col min="3" max="3" width="12" style="141" customWidth="1"/>
    <col min="4" max="4" width="14.140625" style="2" customWidth="1"/>
    <col min="5" max="5" width="38.5703125" style="2" customWidth="1"/>
    <col min="6" max="6" width="52.28515625" style="2" customWidth="1"/>
    <col min="7" max="7" width="50.42578125" style="1" customWidth="1"/>
    <col min="8" max="10" width="19" style="4" customWidth="1"/>
    <col min="11" max="11" width="17.7109375" style="1" customWidth="1"/>
    <col min="12" max="12" width="16.42578125" style="1" customWidth="1"/>
    <col min="13" max="13" width="6.28515625" style="1" bestFit="1" customWidth="1"/>
    <col min="14" max="14" width="27.28515625" style="1" bestFit="1" customWidth="1"/>
    <col min="15" max="15" width="18.85546875" style="1" customWidth="1"/>
    <col min="16" max="16" width="17.42578125" style="1" customWidth="1"/>
    <col min="17" max="17" width="6.28515625" style="1" bestFit="1" customWidth="1"/>
    <col min="18" max="18" width="16" style="1" customWidth="1"/>
    <col min="19" max="19" width="5.7109375" style="1" customWidth="1"/>
    <col min="20" max="20" width="25.85546875" style="1" customWidth="1"/>
    <col min="21" max="21" width="25.28515625" style="1" customWidth="1"/>
    <col min="22" max="22" width="15.140625" style="1" bestFit="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11.42578125" style="156"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49.28515625" style="1" customWidth="1"/>
    <col min="41" max="41" width="21" style="1" customWidth="1"/>
    <col min="42" max="42" width="14.140625" style="1" customWidth="1"/>
    <col min="43" max="43" width="57.7109375" style="163" customWidth="1"/>
    <col min="44" max="44" width="20.7109375" style="1" customWidth="1"/>
    <col min="45" max="45" width="77.85546875" style="1" customWidth="1"/>
    <col min="46" max="46" width="19.5703125" style="1" customWidth="1"/>
    <col min="47" max="47" width="17.28515625" style="1" customWidth="1"/>
    <col min="48" max="16384" width="11.42578125" style="1"/>
  </cols>
  <sheetData>
    <row r="1" spans="1:73" ht="38.450000000000003" hidden="1" customHeight="1" x14ac:dyDescent="0.3">
      <c r="A1" s="230" t="s">
        <v>213</v>
      </c>
      <c r="B1" s="230"/>
      <c r="C1" s="230"/>
      <c r="D1" s="230"/>
      <c r="E1" s="242" t="s">
        <v>214</v>
      </c>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18" t="s">
        <v>215</v>
      </c>
      <c r="AU1" s="219"/>
    </row>
    <row r="2" spans="1:73" ht="33.6" customHeight="1" x14ac:dyDescent="0.3">
      <c r="A2" s="230"/>
      <c r="B2" s="230"/>
      <c r="C2" s="230"/>
      <c r="D2" s="230"/>
      <c r="E2" s="242"/>
      <c r="F2" s="242"/>
      <c r="G2" s="242"/>
      <c r="H2" s="242"/>
      <c r="I2" s="242"/>
      <c r="J2" s="242"/>
      <c r="K2" s="242"/>
      <c r="L2" s="242"/>
      <c r="M2" s="242"/>
      <c r="N2" s="242"/>
      <c r="O2" s="242"/>
      <c r="P2" s="242"/>
      <c r="Q2" s="242"/>
      <c r="R2" s="242"/>
      <c r="S2" s="242"/>
      <c r="T2" s="242"/>
      <c r="U2" s="242"/>
      <c r="V2" s="242"/>
      <c r="W2" s="242"/>
      <c r="X2" s="242"/>
      <c r="Y2" s="242"/>
      <c r="Z2" s="242"/>
      <c r="AA2" s="242"/>
      <c r="AB2" s="242"/>
      <c r="AC2" s="242"/>
      <c r="AD2" s="242"/>
      <c r="AE2" s="242"/>
      <c r="AF2" s="242"/>
      <c r="AG2" s="242"/>
      <c r="AH2" s="242"/>
      <c r="AI2" s="242"/>
      <c r="AJ2" s="242"/>
      <c r="AK2" s="242"/>
      <c r="AL2" s="242"/>
      <c r="AM2" s="242"/>
      <c r="AN2" s="242"/>
      <c r="AO2" s="242"/>
      <c r="AP2" s="242"/>
      <c r="AQ2" s="242"/>
      <c r="AR2" s="242"/>
      <c r="AS2" s="242"/>
      <c r="AT2" s="220" t="s">
        <v>222</v>
      </c>
      <c r="AU2" s="221"/>
    </row>
    <row r="3" spans="1:73" ht="13.9" customHeight="1" x14ac:dyDescent="0.3">
      <c r="A3" s="230"/>
      <c r="B3" s="230"/>
      <c r="C3" s="230"/>
      <c r="D3" s="230"/>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20" t="s">
        <v>223</v>
      </c>
      <c r="AU3" s="221"/>
    </row>
    <row r="4" spans="1:73" ht="13.9" customHeight="1" x14ac:dyDescent="0.3">
      <c r="A4" s="230"/>
      <c r="B4" s="230"/>
      <c r="C4" s="230"/>
      <c r="D4" s="230"/>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22" t="s">
        <v>216</v>
      </c>
      <c r="AU4" s="223"/>
    </row>
    <row r="5" spans="1:73" ht="26.25" customHeight="1" x14ac:dyDescent="0.3">
      <c r="A5" s="244" t="s">
        <v>42</v>
      </c>
      <c r="B5" s="245"/>
      <c r="C5" s="227" t="s">
        <v>254</v>
      </c>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6"/>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30" customHeight="1" x14ac:dyDescent="0.3">
      <c r="A6" s="244" t="s">
        <v>129</v>
      </c>
      <c r="B6" s="245"/>
      <c r="C6" s="224" t="s">
        <v>255</v>
      </c>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6"/>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24" customHeight="1" x14ac:dyDescent="0.3">
      <c r="A7" s="244" t="s">
        <v>43</v>
      </c>
      <c r="B7" s="245"/>
      <c r="C7" s="224" t="s">
        <v>256</v>
      </c>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J7" s="225"/>
      <c r="AK7" s="225"/>
      <c r="AL7" s="225"/>
      <c r="AM7" s="225"/>
      <c r="AN7" s="225"/>
      <c r="AO7" s="225"/>
      <c r="AP7" s="225"/>
      <c r="AQ7" s="225"/>
      <c r="AR7" s="225"/>
      <c r="AS7" s="225"/>
      <c r="AT7" s="225"/>
      <c r="AU7" s="226"/>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x14ac:dyDescent="0.3">
      <c r="A8" s="216" t="s">
        <v>138</v>
      </c>
      <c r="B8" s="216"/>
      <c r="C8" s="216"/>
      <c r="D8" s="216"/>
      <c r="E8" s="216"/>
      <c r="F8" s="216"/>
      <c r="G8" s="216"/>
      <c r="H8" s="216"/>
      <c r="I8" s="216"/>
      <c r="J8" s="216"/>
      <c r="K8" s="216"/>
      <c r="L8" s="216" t="s">
        <v>139</v>
      </c>
      <c r="M8" s="216"/>
      <c r="N8" s="216"/>
      <c r="O8" s="216"/>
      <c r="P8" s="216"/>
      <c r="Q8" s="216"/>
      <c r="R8" s="216"/>
      <c r="S8" s="216" t="s">
        <v>140</v>
      </c>
      <c r="T8" s="216"/>
      <c r="U8" s="216"/>
      <c r="V8" s="216"/>
      <c r="W8" s="216"/>
      <c r="X8" s="216"/>
      <c r="Y8" s="216"/>
      <c r="Z8" s="216"/>
      <c r="AA8" s="216"/>
      <c r="AB8" s="216"/>
      <c r="AC8" s="216" t="s">
        <v>141</v>
      </c>
      <c r="AD8" s="216"/>
      <c r="AE8" s="216"/>
      <c r="AF8" s="216"/>
      <c r="AG8" s="216"/>
      <c r="AH8" s="216"/>
      <c r="AI8" s="216"/>
      <c r="AJ8" s="216" t="s">
        <v>34</v>
      </c>
      <c r="AK8" s="216"/>
      <c r="AL8" s="216"/>
      <c r="AM8" s="216"/>
      <c r="AN8" s="216"/>
      <c r="AO8" s="216"/>
      <c r="AP8" s="216"/>
      <c r="AQ8" s="216"/>
      <c r="AR8" s="216"/>
      <c r="AS8" s="216"/>
      <c r="AT8" s="216"/>
      <c r="AU8" s="216"/>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16.5" customHeight="1" x14ac:dyDescent="0.3">
      <c r="A9" s="240" t="s">
        <v>0</v>
      </c>
      <c r="B9" s="216" t="s">
        <v>13</v>
      </c>
      <c r="C9" s="215" t="s">
        <v>236</v>
      </c>
      <c r="D9" s="216" t="s">
        <v>2</v>
      </c>
      <c r="E9" s="215" t="s">
        <v>3</v>
      </c>
      <c r="F9" s="215" t="s">
        <v>41</v>
      </c>
      <c r="G9" s="216" t="s">
        <v>1</v>
      </c>
      <c r="H9" s="215" t="s">
        <v>49</v>
      </c>
      <c r="I9" s="215" t="s">
        <v>252</v>
      </c>
      <c r="J9" s="215" t="s">
        <v>253</v>
      </c>
      <c r="K9" s="215" t="s">
        <v>134</v>
      </c>
      <c r="L9" s="215" t="s">
        <v>33</v>
      </c>
      <c r="M9" s="216" t="s">
        <v>5</v>
      </c>
      <c r="N9" s="215" t="s">
        <v>86</v>
      </c>
      <c r="O9" s="215" t="s">
        <v>91</v>
      </c>
      <c r="P9" s="215" t="s">
        <v>44</v>
      </c>
      <c r="Q9" s="216" t="s">
        <v>5</v>
      </c>
      <c r="R9" s="215" t="s">
        <v>47</v>
      </c>
      <c r="S9" s="228" t="s">
        <v>11</v>
      </c>
      <c r="T9" s="215" t="s">
        <v>160</v>
      </c>
      <c r="U9" s="215" t="s">
        <v>212</v>
      </c>
      <c r="V9" s="215" t="s">
        <v>12</v>
      </c>
      <c r="W9" s="215" t="s">
        <v>8</v>
      </c>
      <c r="X9" s="215"/>
      <c r="Y9" s="215"/>
      <c r="Z9" s="215"/>
      <c r="AA9" s="215"/>
      <c r="AB9" s="215"/>
      <c r="AC9" s="229" t="s">
        <v>137</v>
      </c>
      <c r="AD9" s="228" t="s">
        <v>45</v>
      </c>
      <c r="AE9" s="228" t="s">
        <v>5</v>
      </c>
      <c r="AF9" s="228" t="s">
        <v>46</v>
      </c>
      <c r="AG9" s="228" t="s">
        <v>5</v>
      </c>
      <c r="AH9" s="228" t="s">
        <v>48</v>
      </c>
      <c r="AI9" s="228" t="s">
        <v>29</v>
      </c>
      <c r="AJ9" s="215" t="s">
        <v>34</v>
      </c>
      <c r="AK9" s="215" t="s">
        <v>35</v>
      </c>
      <c r="AL9" s="215" t="s">
        <v>36</v>
      </c>
      <c r="AM9" s="215" t="s">
        <v>37</v>
      </c>
      <c r="AN9" s="215" t="s">
        <v>224</v>
      </c>
      <c r="AO9" s="215" t="s">
        <v>38</v>
      </c>
      <c r="AP9" s="215" t="s">
        <v>37</v>
      </c>
      <c r="AQ9" s="243" t="s">
        <v>225</v>
      </c>
      <c r="AR9" s="215" t="s">
        <v>38</v>
      </c>
      <c r="AS9" s="215" t="s">
        <v>37</v>
      </c>
      <c r="AT9" s="215" t="s">
        <v>226</v>
      </c>
      <c r="AU9" s="215" t="s">
        <v>38</v>
      </c>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s="3" customFormat="1" ht="57" customHeight="1" x14ac:dyDescent="0.25">
      <c r="A10" s="240"/>
      <c r="B10" s="216"/>
      <c r="C10" s="215"/>
      <c r="D10" s="216"/>
      <c r="E10" s="215"/>
      <c r="F10" s="215"/>
      <c r="G10" s="216"/>
      <c r="H10" s="215"/>
      <c r="I10" s="215"/>
      <c r="J10" s="215"/>
      <c r="K10" s="215"/>
      <c r="L10" s="215"/>
      <c r="M10" s="216"/>
      <c r="N10" s="215"/>
      <c r="O10" s="215"/>
      <c r="P10" s="216"/>
      <c r="Q10" s="216"/>
      <c r="R10" s="215"/>
      <c r="S10" s="228"/>
      <c r="T10" s="215"/>
      <c r="U10" s="215"/>
      <c r="V10" s="215"/>
      <c r="W10" s="136" t="s">
        <v>13</v>
      </c>
      <c r="X10" s="136" t="s">
        <v>17</v>
      </c>
      <c r="Y10" s="136" t="s">
        <v>28</v>
      </c>
      <c r="Z10" s="136" t="s">
        <v>18</v>
      </c>
      <c r="AA10" s="136" t="s">
        <v>21</v>
      </c>
      <c r="AB10" s="136" t="s">
        <v>24</v>
      </c>
      <c r="AC10" s="229"/>
      <c r="AD10" s="228"/>
      <c r="AE10" s="228"/>
      <c r="AF10" s="228"/>
      <c r="AG10" s="228"/>
      <c r="AH10" s="228"/>
      <c r="AI10" s="228"/>
      <c r="AJ10" s="215"/>
      <c r="AK10" s="215"/>
      <c r="AL10" s="215"/>
      <c r="AM10" s="215"/>
      <c r="AN10" s="215"/>
      <c r="AO10" s="215"/>
      <c r="AP10" s="215"/>
      <c r="AQ10" s="243"/>
      <c r="AR10" s="215"/>
      <c r="AS10" s="215"/>
      <c r="AT10" s="215"/>
      <c r="AU10" s="215"/>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s="3" customFormat="1" ht="12.75" customHeight="1" x14ac:dyDescent="0.25">
      <c r="A11" s="146"/>
      <c r="B11" s="147"/>
      <c r="C11" s="148"/>
      <c r="D11" s="143"/>
      <c r="E11" s="144"/>
      <c r="F11" s="144"/>
      <c r="G11" s="143"/>
      <c r="H11" s="144"/>
      <c r="I11" s="148"/>
      <c r="J11" s="148"/>
      <c r="K11" s="144"/>
      <c r="L11" s="144"/>
      <c r="M11" s="143"/>
      <c r="N11" s="144"/>
      <c r="O11" s="144"/>
      <c r="P11" s="143"/>
      <c r="Q11" s="143"/>
      <c r="R11" s="144"/>
      <c r="S11" s="145"/>
      <c r="T11" s="144"/>
      <c r="U11" s="144"/>
      <c r="V11" s="144"/>
      <c r="W11" s="136"/>
      <c r="X11" s="136"/>
      <c r="Y11" s="136"/>
      <c r="Z11" s="136"/>
      <c r="AA11" s="136"/>
      <c r="AB11" s="136"/>
      <c r="AC11" s="153"/>
      <c r="AD11" s="145"/>
      <c r="AE11" s="145"/>
      <c r="AF11" s="145"/>
      <c r="AG11" s="145"/>
      <c r="AH11" s="145"/>
      <c r="AI11" s="145"/>
      <c r="AJ11" s="144"/>
      <c r="AK11" s="144"/>
      <c r="AL11" s="144"/>
      <c r="AM11" s="144"/>
      <c r="AN11" s="144"/>
      <c r="AO11" s="144"/>
      <c r="AP11" s="144"/>
      <c r="AQ11" s="159"/>
      <c r="AR11" s="144"/>
      <c r="AS11" s="144"/>
      <c r="AT11" s="144"/>
      <c r="AU11" s="144"/>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ht="104.25" customHeight="1" x14ac:dyDescent="0.3">
      <c r="A12" s="262">
        <v>1</v>
      </c>
      <c r="B12" s="249" t="s">
        <v>231</v>
      </c>
      <c r="C12" s="251" t="s">
        <v>238</v>
      </c>
      <c r="D12" s="246" t="s">
        <v>133</v>
      </c>
      <c r="E12" s="246" t="s">
        <v>323</v>
      </c>
      <c r="F12" s="246" t="s">
        <v>324</v>
      </c>
      <c r="G12" s="247" t="s">
        <v>325</v>
      </c>
      <c r="H12" s="246" t="s">
        <v>122</v>
      </c>
      <c r="I12" s="267" t="s">
        <v>245</v>
      </c>
      <c r="J12" s="267" t="s">
        <v>249</v>
      </c>
      <c r="K12" s="253">
        <v>43</v>
      </c>
      <c r="L12" s="272" t="s">
        <v>106</v>
      </c>
      <c r="M12" s="241">
        <v>0.6</v>
      </c>
      <c r="N12" s="217" t="s">
        <v>152</v>
      </c>
      <c r="O12" s="241" t="s">
        <v>152</v>
      </c>
      <c r="P12" s="272" t="s">
        <v>80</v>
      </c>
      <c r="Q12" s="241">
        <v>0.6</v>
      </c>
      <c r="R12" s="248" t="s">
        <v>80</v>
      </c>
      <c r="S12" s="116">
        <v>1</v>
      </c>
      <c r="T12" s="117" t="s">
        <v>298</v>
      </c>
      <c r="U12" s="117" t="s">
        <v>263</v>
      </c>
      <c r="V12" s="138" t="s">
        <v>4</v>
      </c>
      <c r="W12" s="119" t="s">
        <v>14</v>
      </c>
      <c r="X12" s="119" t="s">
        <v>9</v>
      </c>
      <c r="Y12" s="120" t="s">
        <v>271</v>
      </c>
      <c r="Z12" s="119" t="s">
        <v>20</v>
      </c>
      <c r="AA12" s="119" t="s">
        <v>23</v>
      </c>
      <c r="AB12" s="119" t="s">
        <v>118</v>
      </c>
      <c r="AC12" s="149">
        <f>IFERROR(IF(V12="Probabilidad",(M12-(+M12*Y12)),IF(V12="Impacto",M12,"")),"")</f>
        <v>0.36</v>
      </c>
      <c r="AD12" s="150" t="str">
        <f>IFERROR(IF(AC12="","",IF(AC12&lt;=0.2,"Muy Baja",IF(AC12&lt;=0.4,"Baja",IF(AC12&lt;=0.6,"Media",IF(AC12&lt;=0.8,"Alta","Muy Alta"))))),"")</f>
        <v>Baja</v>
      </c>
      <c r="AE12" s="151">
        <f t="shared" ref="AE12:AE21" si="0">+AC12</f>
        <v>0.36</v>
      </c>
      <c r="AF12" s="150" t="str">
        <f>IFERROR(IF(AG12="","",IF(AG12&lt;=0.2,"Leve",IF(AG12&lt;=0.4,"Menor",IF(AG12&lt;=0.6,"Moderado",IF(AG12&lt;=0.8,"Mayor","Catastrófico"))))),"")</f>
        <v>Moderado</v>
      </c>
      <c r="AG12" s="151">
        <f>IFERROR(IF(V12="Impacto",(Q12-(+Q12*Y12)),IF(V12="Probabilidad",Q12,"")),"")</f>
        <v>0.6</v>
      </c>
      <c r="AH12" s="152" t="str">
        <f t="shared" ref="AH12:AH20" si="1">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19" t="s">
        <v>135</v>
      </c>
      <c r="AJ12" s="137" t="s">
        <v>272</v>
      </c>
      <c r="AK12" s="137" t="s">
        <v>273</v>
      </c>
      <c r="AL12" s="137" t="s">
        <v>274</v>
      </c>
      <c r="AM12" s="142">
        <v>44693</v>
      </c>
      <c r="AN12" s="117" t="s">
        <v>321</v>
      </c>
      <c r="AO12" s="118" t="s">
        <v>40</v>
      </c>
      <c r="AP12" s="121">
        <v>44798</v>
      </c>
      <c r="AQ12" s="170" t="s">
        <v>326</v>
      </c>
      <c r="AR12" s="118" t="s">
        <v>40</v>
      </c>
      <c r="AS12" s="173" t="s">
        <v>337</v>
      </c>
      <c r="AT12" s="171">
        <v>44868</v>
      </c>
      <c r="AU12" s="118" t="s">
        <v>39</v>
      </c>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87" customHeight="1" x14ac:dyDescent="0.3">
      <c r="A13" s="263"/>
      <c r="B13" s="265"/>
      <c r="C13" s="266"/>
      <c r="D13" s="246"/>
      <c r="E13" s="246"/>
      <c r="F13" s="246"/>
      <c r="G13" s="247"/>
      <c r="H13" s="246"/>
      <c r="I13" s="268"/>
      <c r="J13" s="268"/>
      <c r="K13" s="253"/>
      <c r="L13" s="272"/>
      <c r="M13" s="241"/>
      <c r="N13" s="217"/>
      <c r="O13" s="241">
        <v>0</v>
      </c>
      <c r="P13" s="272"/>
      <c r="Q13" s="241"/>
      <c r="R13" s="248"/>
      <c r="S13" s="116">
        <v>2</v>
      </c>
      <c r="T13" s="117" t="s">
        <v>299</v>
      </c>
      <c r="U13" s="117" t="s">
        <v>318</v>
      </c>
      <c r="V13" s="138" t="s">
        <v>4</v>
      </c>
      <c r="W13" s="119" t="s">
        <v>14</v>
      </c>
      <c r="X13" s="119" t="s">
        <v>9</v>
      </c>
      <c r="Y13" s="120" t="s">
        <v>271</v>
      </c>
      <c r="Z13" s="119" t="s">
        <v>20</v>
      </c>
      <c r="AA13" s="119" t="s">
        <v>22</v>
      </c>
      <c r="AB13" s="119" t="s">
        <v>118</v>
      </c>
      <c r="AC13" s="157">
        <f>IFERROR(IF(AND(V12="Probabilidad",V13="Probabilidad"),(AE12-(+AE12*Y13)),IF(V13="Probabilidad",(N12-(+N12*Y13)),IF(V13="Impacto",AE12,""))),"")</f>
        <v>0.216</v>
      </c>
      <c r="AD13" s="150" t="str">
        <f t="shared" ref="AD13:AD15" si="2">IFERROR(IF(AC13="","",IF(AC13&lt;=0.2,"Muy Baja",IF(AC13&lt;=0.4,"Baja",IF(AC13&lt;=0.6,"Media",IF(AC13&lt;=0.8,"Alta","Muy Alta"))))),"")</f>
        <v>Baja</v>
      </c>
      <c r="AE13" s="158">
        <f t="shared" si="0"/>
        <v>0.216</v>
      </c>
      <c r="AF13" s="150" t="str">
        <f t="shared" ref="AF13:AF15" si="3">IFERROR(IF(AG13="","",IF(AG13&lt;=0.2,"Leve",IF(AG13&lt;=0.4,"Menor",IF(AG13&lt;=0.6,"Moderado",IF(AG13&lt;=0.8,"Mayor","Catastrófico"))))),"")</f>
        <v>Moderado</v>
      </c>
      <c r="AG13" s="151">
        <f>IFERROR(IF(AND(V12="Impacto",V13="Impacto"),(AG12-(+AG12*Y13)),IF(V13="Impacto",($M$10-(+$M$10*Y13)),IF(V13="Probabilidad",AG12,""))),"")</f>
        <v>0.6</v>
      </c>
      <c r="AH13" s="150" t="str">
        <f t="shared" si="1"/>
        <v>Moderado</v>
      </c>
      <c r="AI13" s="119" t="s">
        <v>135</v>
      </c>
      <c r="AJ13" s="137" t="s">
        <v>320</v>
      </c>
      <c r="AK13" s="137" t="s">
        <v>273</v>
      </c>
      <c r="AL13" s="137" t="s">
        <v>275</v>
      </c>
      <c r="AM13" s="142">
        <v>44693</v>
      </c>
      <c r="AN13" s="117" t="s">
        <v>319</v>
      </c>
      <c r="AO13" s="118" t="s">
        <v>40</v>
      </c>
      <c r="AP13" s="121">
        <v>44798</v>
      </c>
      <c r="AQ13" s="160" t="s">
        <v>327</v>
      </c>
      <c r="AR13" s="118" t="s">
        <v>40</v>
      </c>
      <c r="AS13" s="173" t="s">
        <v>338</v>
      </c>
      <c r="AT13" s="171">
        <v>44868</v>
      </c>
      <c r="AU13" s="118" t="s">
        <v>39</v>
      </c>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125.25" customHeight="1" x14ac:dyDescent="0.3">
      <c r="A14" s="263"/>
      <c r="B14" s="265"/>
      <c r="C14" s="266"/>
      <c r="D14" s="246"/>
      <c r="E14" s="246"/>
      <c r="F14" s="246"/>
      <c r="G14" s="247"/>
      <c r="H14" s="246"/>
      <c r="I14" s="268"/>
      <c r="J14" s="268"/>
      <c r="K14" s="253"/>
      <c r="L14" s="272"/>
      <c r="M14" s="241"/>
      <c r="N14" s="217"/>
      <c r="O14" s="241">
        <v>0</v>
      </c>
      <c r="P14" s="272"/>
      <c r="Q14" s="241"/>
      <c r="R14" s="248"/>
      <c r="S14" s="116">
        <v>3</v>
      </c>
      <c r="T14" s="117" t="s">
        <v>322</v>
      </c>
      <c r="U14" s="117" t="s">
        <v>300</v>
      </c>
      <c r="V14" s="138" t="s">
        <v>2</v>
      </c>
      <c r="W14" s="119" t="s">
        <v>16</v>
      </c>
      <c r="X14" s="119" t="s">
        <v>9</v>
      </c>
      <c r="Y14" s="120" t="s">
        <v>276</v>
      </c>
      <c r="Z14" s="119" t="s">
        <v>19</v>
      </c>
      <c r="AA14" s="119" t="s">
        <v>22</v>
      </c>
      <c r="AB14" s="119" t="s">
        <v>119</v>
      </c>
      <c r="AC14" s="157">
        <f>IFERROR(IF(AND(V13="Probabilidad",V14="Probabilidad"),(AE13-(+AE13*Y14)),IF(V14="Probabilidad",(N13-(+N13*Y14)),IF(V14="Impacto",AE13,""))),"")</f>
        <v>0.216</v>
      </c>
      <c r="AD14" s="150" t="str">
        <f t="shared" si="2"/>
        <v>Baja</v>
      </c>
      <c r="AE14" s="158">
        <f t="shared" si="0"/>
        <v>0.216</v>
      </c>
      <c r="AF14" s="150" t="str">
        <f t="shared" si="3"/>
        <v>Leve</v>
      </c>
      <c r="AG14" s="151">
        <f>IFERROR(IF(AND(V13="Impacto",V14="Impacto"),(AG13-(+AG13*Y14)),IF(V14="Impacto",($M$10-(+$M$10*Y14)),IF(V14="Probabilidad",AG13,""))),"")</f>
        <v>0</v>
      </c>
      <c r="AH14" s="150" t="str">
        <f t="shared" si="1"/>
        <v>Bajo</v>
      </c>
      <c r="AI14" s="119" t="s">
        <v>135</v>
      </c>
      <c r="AJ14" s="137" t="s">
        <v>308</v>
      </c>
      <c r="AK14" s="137" t="s">
        <v>273</v>
      </c>
      <c r="AL14" s="137" t="s">
        <v>277</v>
      </c>
      <c r="AM14" s="142">
        <v>44693</v>
      </c>
      <c r="AN14" s="117" t="s">
        <v>309</v>
      </c>
      <c r="AO14" s="118" t="s">
        <v>40</v>
      </c>
      <c r="AP14" s="121">
        <v>44798</v>
      </c>
      <c r="AQ14" s="172" t="s">
        <v>328</v>
      </c>
      <c r="AR14" s="118" t="s">
        <v>40</v>
      </c>
      <c r="AS14" s="173" t="s">
        <v>339</v>
      </c>
      <c r="AT14" s="171">
        <v>44868</v>
      </c>
      <c r="AU14" s="118" t="s">
        <v>39</v>
      </c>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72" customHeight="1" x14ac:dyDescent="0.3">
      <c r="A15" s="264"/>
      <c r="B15" s="250"/>
      <c r="C15" s="252"/>
      <c r="D15" s="246"/>
      <c r="E15" s="246"/>
      <c r="F15" s="246"/>
      <c r="G15" s="247"/>
      <c r="H15" s="246"/>
      <c r="I15" s="269"/>
      <c r="J15" s="269"/>
      <c r="K15" s="253"/>
      <c r="L15" s="272"/>
      <c r="M15" s="241"/>
      <c r="N15" s="217"/>
      <c r="O15" s="241">
        <v>0</v>
      </c>
      <c r="P15" s="272"/>
      <c r="Q15" s="241"/>
      <c r="R15" s="248"/>
      <c r="S15" s="116">
        <v>4</v>
      </c>
      <c r="T15" s="117" t="s">
        <v>264</v>
      </c>
      <c r="U15" s="117" t="s">
        <v>301</v>
      </c>
      <c r="V15" s="138" t="s">
        <v>4</v>
      </c>
      <c r="W15" s="119" t="s">
        <v>14</v>
      </c>
      <c r="X15" s="119" t="s">
        <v>9</v>
      </c>
      <c r="Y15" s="120" t="s">
        <v>271</v>
      </c>
      <c r="Z15" s="119" t="s">
        <v>20</v>
      </c>
      <c r="AA15" s="119" t="s">
        <v>22</v>
      </c>
      <c r="AB15" s="119" t="s">
        <v>118</v>
      </c>
      <c r="AC15" s="157">
        <f>IFERROR(IF(AND(V14="Probabilidad",V15="Probabilidad"),(AE14-(+AE14*Y15)),IF(V15="Probabilidad",(N14-(+N14*Y15)),IF(V15="Impacto",AE14,""))),"")</f>
        <v>0</v>
      </c>
      <c r="AD15" s="150" t="str">
        <f t="shared" si="2"/>
        <v>Muy Baja</v>
      </c>
      <c r="AE15" s="158">
        <f t="shared" si="0"/>
        <v>0</v>
      </c>
      <c r="AF15" s="150" t="str">
        <f t="shared" si="3"/>
        <v>Leve</v>
      </c>
      <c r="AG15" s="151">
        <f>IFERROR(IF(AND(V14="Impacto",V15="Impacto"),(AG14-(+AG14*Y15)),IF(V15="Impacto",($M$10-(+$M$10*Y15)),IF(V15="Probabilidad",AG14,""))),"")</f>
        <v>0</v>
      </c>
      <c r="AH15" s="150" t="str">
        <f t="shared" si="1"/>
        <v>Bajo</v>
      </c>
      <c r="AI15" s="119" t="s">
        <v>135</v>
      </c>
      <c r="AJ15" s="137" t="s">
        <v>278</v>
      </c>
      <c r="AK15" s="137" t="s">
        <v>279</v>
      </c>
      <c r="AL15" s="137" t="s">
        <v>280</v>
      </c>
      <c r="AM15" s="142">
        <v>44693</v>
      </c>
      <c r="AN15" s="117" t="s">
        <v>310</v>
      </c>
      <c r="AO15" s="118" t="s">
        <v>40</v>
      </c>
      <c r="AP15" s="121">
        <v>44798</v>
      </c>
      <c r="AQ15" s="160" t="s">
        <v>329</v>
      </c>
      <c r="AR15" s="118" t="s">
        <v>40</v>
      </c>
      <c r="AS15" s="173" t="s">
        <v>340</v>
      </c>
      <c r="AT15" s="171">
        <v>44868</v>
      </c>
      <c r="AU15" s="118" t="s">
        <v>39</v>
      </c>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130.5" customHeight="1" x14ac:dyDescent="0.3">
      <c r="A16" s="249">
        <v>2</v>
      </c>
      <c r="B16" s="249" t="s">
        <v>233</v>
      </c>
      <c r="C16" s="251" t="s">
        <v>240</v>
      </c>
      <c r="D16" s="246" t="s">
        <v>133</v>
      </c>
      <c r="E16" s="246" t="s">
        <v>257</v>
      </c>
      <c r="F16" s="246" t="s">
        <v>258</v>
      </c>
      <c r="G16" s="247" t="s">
        <v>295</v>
      </c>
      <c r="H16" s="246" t="s">
        <v>122</v>
      </c>
      <c r="I16" s="267" t="s">
        <v>245</v>
      </c>
      <c r="J16" s="267" t="s">
        <v>247</v>
      </c>
      <c r="K16" s="253">
        <v>90</v>
      </c>
      <c r="L16" s="258" t="str">
        <f>IF(K16&lt;=0,"",IF(K16&lt;=2,"Muy Baja",IF(K16&lt;=24,"Baja",IF(K16&lt;=500,"Media",IF(K16&lt;=5000,"Alta","Muy Alta")))))</f>
        <v>Media</v>
      </c>
      <c r="M16" s="256">
        <f>IF(L16="","",IF(L16="Muy Baja",0.2,IF(L16="Baja",0.4,IF(L16="Media",0.6,IF(L16="Alta",0.8,IF(L16="Muy Alta",1,))))))</f>
        <v>0.6</v>
      </c>
      <c r="N16" s="270" t="s">
        <v>152</v>
      </c>
      <c r="O16" s="256" t="str">
        <f>IF(NOT(ISERROR(MATCH(N16,'[1]Tabla Impacto'!$B$221:$B$223,0))),'[1]Tabla Impacto'!$F$223&amp;"Por favor no seleccionar los criterios de impacto(Afectación Económica o presupuestal y Pérdida Reputacional)",N16)</f>
        <v xml:space="preserve">     El riesgo afecta la imagen de la entidad con algunos usuarios de relevancia frente al logro de los objetivos</v>
      </c>
      <c r="P16" s="254" t="str">
        <f>IF(OR(O16='[1]Tabla Impacto'!$C$11,O16='[1]Tabla Impacto'!$D$11),"Leve",IF(OR(O16='[1]Tabla Impacto'!$C$12,O16='[1]Tabla Impacto'!$D$12),"Menor",IF(OR(O16='[1]Tabla Impacto'!$C$13,O16='[1]Tabla Impacto'!$D$13),"Moderado",IF(OR(O16='[1]Tabla Impacto'!$C$14,O16='[1]Tabla Impacto'!$D$14),"Mayor",IF(OR(O16='[1]Tabla Impacto'!$C$15,O16='[1]Tabla Impacto'!$D$15),"Catastrófico","")))))</f>
        <v>Moderado</v>
      </c>
      <c r="Q16" s="256">
        <f>IF(P16="","",IF(P16="Leve",0.2,IF(P16="Menor",0.4,IF(P16="Moderado",0.6,IF(P16="Mayor",0.8,IF(P16="Catastrófico",1,))))))</f>
        <v>0.6</v>
      </c>
      <c r="R16" s="273"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Moderado</v>
      </c>
      <c r="S16" s="116">
        <v>1</v>
      </c>
      <c r="T16" s="117" t="s">
        <v>265</v>
      </c>
      <c r="U16" s="117" t="s">
        <v>302</v>
      </c>
      <c r="V16" s="174" t="s">
        <v>4</v>
      </c>
      <c r="W16" s="119" t="s">
        <v>14</v>
      </c>
      <c r="X16" s="119" t="s">
        <v>9</v>
      </c>
      <c r="Y16" s="120" t="s">
        <v>271</v>
      </c>
      <c r="Z16" s="119" t="s">
        <v>19</v>
      </c>
      <c r="AA16" s="119" t="s">
        <v>22</v>
      </c>
      <c r="AB16" s="119" t="s">
        <v>118</v>
      </c>
      <c r="AC16" s="149">
        <f>IFERROR(IF(V16="Probabilidad",(M16-(+M16*Y16)),IF(V16="Impacto",M16,"")),"")</f>
        <v>0.36</v>
      </c>
      <c r="AD16" s="150" t="str">
        <f>IFERROR(IF(AC16="","",IF(AC16&lt;=0.2,"Muy Baja",IF(AC16&lt;=0.4,"Baja",IF(AC16&lt;=0.6,"Media",IF(AC16&lt;=0.8,"Alta","Muy Alta"))))),"")</f>
        <v>Baja</v>
      </c>
      <c r="AE16" s="151">
        <f t="shared" si="0"/>
        <v>0.36</v>
      </c>
      <c r="AF16" s="150" t="str">
        <f>IFERROR(IF(AG16="","",IF(AG16&lt;=0.2,"Leve",IF(AG16&lt;=0.4,"Menor",IF(AG16&lt;=0.6,"Moderado",IF(AG16&lt;=0.8,"Mayor","Catastrófico"))))),"")</f>
        <v>Moderado</v>
      </c>
      <c r="AG16" s="151">
        <f>IFERROR(IF(V16="Impacto",(Q16-(+Q16*Y16)),IF(V16="Probabilidad",Q16,"")),"")</f>
        <v>0.6</v>
      </c>
      <c r="AH16" s="152" t="str">
        <f t="shared" si="1"/>
        <v>Moderado</v>
      </c>
      <c r="AI16" s="119" t="s">
        <v>135</v>
      </c>
      <c r="AJ16" s="137" t="s">
        <v>281</v>
      </c>
      <c r="AK16" s="137" t="s">
        <v>273</v>
      </c>
      <c r="AL16" s="137" t="s">
        <v>282</v>
      </c>
      <c r="AM16" s="142">
        <v>44693</v>
      </c>
      <c r="AN16" s="117" t="s">
        <v>311</v>
      </c>
      <c r="AO16" s="118" t="s">
        <v>40</v>
      </c>
      <c r="AP16" s="121">
        <v>44798</v>
      </c>
      <c r="AQ16" s="170" t="s">
        <v>330</v>
      </c>
      <c r="AR16" s="118" t="s">
        <v>40</v>
      </c>
      <c r="AS16" s="173" t="s">
        <v>341</v>
      </c>
      <c r="AT16" s="171">
        <v>44868</v>
      </c>
      <c r="AU16" s="118" t="s">
        <v>39</v>
      </c>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75" customHeight="1" x14ac:dyDescent="0.3">
      <c r="A17" s="265"/>
      <c r="B17" s="265"/>
      <c r="C17" s="266"/>
      <c r="D17" s="246"/>
      <c r="E17" s="246"/>
      <c r="F17" s="246"/>
      <c r="G17" s="247"/>
      <c r="H17" s="246"/>
      <c r="I17" s="268"/>
      <c r="J17" s="268"/>
      <c r="K17" s="253"/>
      <c r="L17" s="259"/>
      <c r="M17" s="261"/>
      <c r="N17" s="275"/>
      <c r="O17" s="261"/>
      <c r="P17" s="276"/>
      <c r="Q17" s="261"/>
      <c r="R17" s="277"/>
      <c r="S17" s="116">
        <v>2</v>
      </c>
      <c r="T17" s="117" t="s">
        <v>266</v>
      </c>
      <c r="U17" s="117" t="s">
        <v>303</v>
      </c>
      <c r="V17" s="174" t="s">
        <v>4</v>
      </c>
      <c r="W17" s="119" t="s">
        <v>14</v>
      </c>
      <c r="X17" s="119" t="s">
        <v>9</v>
      </c>
      <c r="Y17" s="120" t="s">
        <v>271</v>
      </c>
      <c r="Z17" s="119" t="s">
        <v>19</v>
      </c>
      <c r="AA17" s="119" t="s">
        <v>22</v>
      </c>
      <c r="AB17" s="119" t="s">
        <v>118</v>
      </c>
      <c r="AC17" s="157">
        <f>IFERROR(IF(AND(V16="Probabilidad",V17="Probabilidad"),(AE16-(+AE16*Y17)),IF(V17="Probabilidad",(N16-(+N16*Y17)),IF(V17="Impacto",AE16,""))),"")</f>
        <v>0.216</v>
      </c>
      <c r="AD17" s="150" t="str">
        <f t="shared" ref="AD17" si="4">IFERROR(IF(AC17="","",IF(AC17&lt;=0.2,"Muy Baja",IF(AC17&lt;=0.4,"Baja",IF(AC17&lt;=0.6,"Media",IF(AC17&lt;=0.8,"Alta","Muy Alta"))))),"")</f>
        <v>Baja</v>
      </c>
      <c r="AE17" s="158">
        <f t="shared" si="0"/>
        <v>0.216</v>
      </c>
      <c r="AF17" s="150" t="str">
        <f t="shared" ref="AF17" si="5">IFERROR(IF(AG17="","",IF(AG17&lt;=0.2,"Leve",IF(AG17&lt;=0.4,"Menor",IF(AG17&lt;=0.6,"Moderado",IF(AG17&lt;=0.8,"Mayor","Catastrófico"))))),"")</f>
        <v>Moderado</v>
      </c>
      <c r="AG17" s="151">
        <f>IFERROR(IF(AND(V16="Impacto",V17="Impacto"),(AG16-(+AG16*Y17)),IF(V17="Impacto",($M$10-(+$M$10*Y17)),IF(V17="Probabilidad",AG16,""))),"")</f>
        <v>0.6</v>
      </c>
      <c r="AH17" s="150" t="str">
        <f t="shared" si="1"/>
        <v>Moderado</v>
      </c>
      <c r="AI17" s="119" t="s">
        <v>135</v>
      </c>
      <c r="AJ17" s="137" t="s">
        <v>283</v>
      </c>
      <c r="AK17" s="137" t="s">
        <v>273</v>
      </c>
      <c r="AL17" s="137" t="s">
        <v>284</v>
      </c>
      <c r="AM17" s="142">
        <v>44693</v>
      </c>
      <c r="AN17" s="117" t="s">
        <v>316</v>
      </c>
      <c r="AO17" s="118" t="s">
        <v>40</v>
      </c>
      <c r="AP17" s="121">
        <v>44798</v>
      </c>
      <c r="AQ17" s="160" t="s">
        <v>332</v>
      </c>
      <c r="AR17" s="118" t="s">
        <v>40</v>
      </c>
      <c r="AS17" s="173" t="s">
        <v>342</v>
      </c>
      <c r="AT17" s="171">
        <v>44868</v>
      </c>
      <c r="AU17" s="118" t="s">
        <v>39</v>
      </c>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ht="82.5" x14ac:dyDescent="0.3">
      <c r="A18" s="250"/>
      <c r="B18" s="250"/>
      <c r="C18" s="252"/>
      <c r="D18" s="246"/>
      <c r="E18" s="246"/>
      <c r="F18" s="246"/>
      <c r="G18" s="247"/>
      <c r="H18" s="246"/>
      <c r="I18" s="269"/>
      <c r="J18" s="269"/>
      <c r="K18" s="253"/>
      <c r="L18" s="260"/>
      <c r="M18" s="257"/>
      <c r="N18" s="271"/>
      <c r="O18" s="257"/>
      <c r="P18" s="255"/>
      <c r="Q18" s="257"/>
      <c r="R18" s="274"/>
      <c r="S18" s="116">
        <v>3</v>
      </c>
      <c r="T18" s="117" t="s">
        <v>267</v>
      </c>
      <c r="U18" s="117" t="s">
        <v>304</v>
      </c>
      <c r="V18" s="174" t="s">
        <v>4</v>
      </c>
      <c r="W18" s="119" t="s">
        <v>15</v>
      </c>
      <c r="X18" s="119" t="s">
        <v>9</v>
      </c>
      <c r="Y18" s="120" t="s">
        <v>285</v>
      </c>
      <c r="Z18" s="119" t="s">
        <v>19</v>
      </c>
      <c r="AA18" s="119" t="s">
        <v>22</v>
      </c>
      <c r="AB18" s="119" t="s">
        <v>118</v>
      </c>
      <c r="AC18" s="157">
        <f>IFERROR(IF(AND(V17="Probabilidad",V18="Probabilidad"),(AE17-(+AE17*Y18)),IF(V18="Probabilidad",(N17-(+N17*Y18)),IF(V18="Impacto",AE17,""))),"")</f>
        <v>0.1512</v>
      </c>
      <c r="AD18" s="150" t="str">
        <f t="shared" ref="AD18" si="6">IFERROR(IF(AC18="","",IF(AC18&lt;=0.2,"Muy Baja",IF(AC18&lt;=0.4,"Baja",IF(AC18&lt;=0.6,"Media",IF(AC18&lt;=0.8,"Alta","Muy Alta"))))),"")</f>
        <v>Muy Baja</v>
      </c>
      <c r="AE18" s="158">
        <f t="shared" si="0"/>
        <v>0.1512</v>
      </c>
      <c r="AF18" s="150" t="str">
        <f t="shared" ref="AF18" si="7">IFERROR(IF(AG18="","",IF(AG18&lt;=0.2,"Leve",IF(AG18&lt;=0.4,"Menor",IF(AG18&lt;=0.6,"Moderado",IF(AG18&lt;=0.8,"Mayor","Catastrófico"))))),"")</f>
        <v>Moderado</v>
      </c>
      <c r="AG18" s="151">
        <f>IFERROR(IF(AND(V17="Impacto",V18="Impacto"),(AG17-(+AG17*Y18)),IF(V18="Impacto",($M$10-(+$M$10*Y18)),IF(V18="Probabilidad",AG17,""))),"")</f>
        <v>0.6</v>
      </c>
      <c r="AH18" s="150" t="str">
        <f t="shared" si="1"/>
        <v>Moderado</v>
      </c>
      <c r="AI18" s="119" t="s">
        <v>135</v>
      </c>
      <c r="AJ18" s="137" t="s">
        <v>286</v>
      </c>
      <c r="AK18" s="137" t="s">
        <v>273</v>
      </c>
      <c r="AL18" s="137" t="s">
        <v>284</v>
      </c>
      <c r="AM18" s="142">
        <v>44693</v>
      </c>
      <c r="AN18" s="117" t="s">
        <v>312</v>
      </c>
      <c r="AO18" s="118" t="s">
        <v>40</v>
      </c>
      <c r="AP18" s="121">
        <v>44798</v>
      </c>
      <c r="AQ18" s="170" t="s">
        <v>331</v>
      </c>
      <c r="AR18" s="118" t="s">
        <v>40</v>
      </c>
      <c r="AS18" s="173" t="s">
        <v>343</v>
      </c>
      <c r="AT18" s="171">
        <v>44868</v>
      </c>
      <c r="AU18" s="118" t="s">
        <v>39</v>
      </c>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ht="65.45" customHeight="1" x14ac:dyDescent="0.3">
      <c r="A19" s="249">
        <v>3</v>
      </c>
      <c r="B19" s="249" t="s">
        <v>228</v>
      </c>
      <c r="C19" s="251" t="s">
        <v>240</v>
      </c>
      <c r="D19" s="246" t="s">
        <v>133</v>
      </c>
      <c r="E19" s="246" t="s">
        <v>259</v>
      </c>
      <c r="F19" s="246" t="s">
        <v>260</v>
      </c>
      <c r="G19" s="247" t="s">
        <v>296</v>
      </c>
      <c r="H19" s="246" t="s">
        <v>124</v>
      </c>
      <c r="I19" s="267" t="s">
        <v>246</v>
      </c>
      <c r="J19" s="267" t="s">
        <v>250</v>
      </c>
      <c r="K19" s="253">
        <v>50</v>
      </c>
      <c r="L19" s="254" t="str">
        <f>IF(K19&lt;=0,"",IF(K19&lt;=2,"Muy Baja",IF(K19&lt;=24,"Baja",IF(K19&lt;=500,"Media",IF(K19&lt;=5000,"Alta","Muy Alta")))))</f>
        <v>Media</v>
      </c>
      <c r="M19" s="256">
        <f>IF(L19="","",IF(L19="Muy Baja",0.2,IF(L19="Baja",0.4,IF(L19="Media",0.6,IF(L19="Alta",0.8,IF(L19="Muy Alta",1,))))))</f>
        <v>0.6</v>
      </c>
      <c r="N19" s="270" t="s">
        <v>148</v>
      </c>
      <c r="O19" s="256" t="str">
        <f>IF(NOT(ISERROR(MATCH(N19,_xlfn.ANCHORARRAY(#REF!),0))),#REF!&amp;"Por favor no seleccionar los criterios de impacto",N19)</f>
        <v xml:space="preserve">     Entre 100 y 500 SMLMV </v>
      </c>
      <c r="P19" s="254" t="str">
        <f>IF(OR(O19='[1]Tabla Impacto'!$C$11,O19='[1]Tabla Impacto'!$D$11),"Leve",IF(OR(O19='[1]Tabla Impacto'!$C$12,O19='[1]Tabla Impacto'!$D$12),"Menor",IF(OR(O19='[1]Tabla Impacto'!$C$13,O19='[1]Tabla Impacto'!$D$13),"Moderado",IF(OR(O19='[1]Tabla Impacto'!$C$14,O19='[1]Tabla Impacto'!$D$14),"Mayor",IF(OR(O19='[1]Tabla Impacto'!$C$15,O19='[1]Tabla Impacto'!$D$15),"Catastrófico","")))))</f>
        <v>Mayor</v>
      </c>
      <c r="Q19" s="256">
        <f>IF(P19="","",IF(P19="Leve",0.2,IF(P19="Menor",0.4,IF(P19="Moderado",0.6,IF(P19="Mayor",0.8,IF(P19="Catastrófico",1,))))))</f>
        <v>0.8</v>
      </c>
      <c r="R19" s="273" t="str">
        <f>IF(OR(AND(L19="Muy Baja",P19="Leve"),AND(L19="Muy Baja",P19="Menor"),AND(L19="Baja",P19="Leve")),"Bajo",IF(OR(AND(L19="Muy baja",P19="Moderado"),AND(L19="Baja",P19="Menor"),AND(L19="Baja",P19="Moderado"),AND(L19="Media",P19="Leve"),AND(L19="Media",P19="Menor"),AND(L19="Media",P19="Moderado"),AND(L19="Alta",P19="Leve"),AND(L19="Alta",P19="Menor")),"Moderado",IF(OR(AND(L19="Muy Baja",P19="Mayor"),AND(L19="Baja",P19="Mayor"),AND(L19="Media",P19="Mayor"),AND(L19="Alta",P19="Moderado"),AND(L19="Alta",P19="Mayor"),AND(L19="Muy Alta",P19="Leve"),AND(L19="Muy Alta",P19="Menor"),AND(L19="Muy Alta",P19="Moderado"),AND(L19="Muy Alta",P19="Mayor")),"Alto",IF(OR(AND(L19="Muy Baja",P19="Catastrófico"),AND(L19="Baja",P19="Catastrófico"),AND(L19="Media",P19="Catastrófico"),AND(L19="Alta",P19="Catastrófico"),AND(L19="Muy Alta",P19="Catastrófico")),"Extremo",""))))</f>
        <v>Alto</v>
      </c>
      <c r="S19" s="116">
        <v>1</v>
      </c>
      <c r="T19" s="117" t="s">
        <v>268</v>
      </c>
      <c r="U19" s="137" t="s">
        <v>305</v>
      </c>
      <c r="V19" s="174" t="s">
        <v>4</v>
      </c>
      <c r="W19" s="119" t="s">
        <v>14</v>
      </c>
      <c r="X19" s="119" t="s">
        <v>9</v>
      </c>
      <c r="Y19" s="120" t="s">
        <v>271</v>
      </c>
      <c r="Z19" s="119" t="s">
        <v>19</v>
      </c>
      <c r="AA19" s="119" t="s">
        <v>22</v>
      </c>
      <c r="AB19" s="119" t="s">
        <v>119</v>
      </c>
      <c r="AC19" s="149">
        <f>IFERROR(IF(V19="Probabilidad",(M19-(+M19*Y19)),IF(V19="Impacto",M19,"")),"")</f>
        <v>0.36</v>
      </c>
      <c r="AD19" s="150" t="str">
        <f>IFERROR(IF(AC19="","",IF(AC19&lt;=0.2,"Muy Baja",IF(AC19&lt;=0.4,"Baja",IF(AC19&lt;=0.6,"Media",IF(AC19&lt;=0.8,"Alta","Muy Alta"))))),"")</f>
        <v>Baja</v>
      </c>
      <c r="AE19" s="151">
        <f t="shared" si="0"/>
        <v>0.36</v>
      </c>
      <c r="AF19" s="150" t="str">
        <f>IFERROR(IF(AG19="","",IF(AG19&lt;=0.2,"Leve",IF(AG19&lt;=0.4,"Menor",IF(AG19&lt;=0.6,"Moderado",IF(AG19&lt;=0.8,"Mayor","Catastrófico"))))),"")</f>
        <v>Mayor</v>
      </c>
      <c r="AG19" s="151">
        <f>IFERROR(IF(V19="Impacto",(Q19-(+Q19*Y19)),IF(V19="Probabilidad",Q19,"")),"")</f>
        <v>0.8</v>
      </c>
      <c r="AH19" s="152" t="str">
        <f t="shared" si="1"/>
        <v>Alto</v>
      </c>
      <c r="AI19" s="119" t="s">
        <v>135</v>
      </c>
      <c r="AJ19" s="137" t="s">
        <v>287</v>
      </c>
      <c r="AK19" s="137" t="s">
        <v>288</v>
      </c>
      <c r="AL19" s="137" t="s">
        <v>289</v>
      </c>
      <c r="AM19" s="142">
        <v>44693</v>
      </c>
      <c r="AN19" s="117" t="s">
        <v>313</v>
      </c>
      <c r="AO19" s="118" t="s">
        <v>40</v>
      </c>
      <c r="AP19" s="121">
        <v>44798</v>
      </c>
      <c r="AQ19" s="160" t="s">
        <v>333</v>
      </c>
      <c r="AR19" s="118" t="s">
        <v>40</v>
      </c>
      <c r="AS19" s="173" t="s">
        <v>336</v>
      </c>
      <c r="AT19" s="171">
        <v>44868</v>
      </c>
      <c r="AU19" s="118" t="s">
        <v>39</v>
      </c>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ht="100.9" customHeight="1" x14ac:dyDescent="0.3">
      <c r="A20" s="250"/>
      <c r="B20" s="250"/>
      <c r="C20" s="252"/>
      <c r="D20" s="246"/>
      <c r="E20" s="246"/>
      <c r="F20" s="246"/>
      <c r="G20" s="247"/>
      <c r="H20" s="246"/>
      <c r="I20" s="269"/>
      <c r="J20" s="269"/>
      <c r="K20" s="253"/>
      <c r="L20" s="255"/>
      <c r="M20" s="257"/>
      <c r="N20" s="271"/>
      <c r="O20" s="257"/>
      <c r="P20" s="255"/>
      <c r="Q20" s="257"/>
      <c r="R20" s="274"/>
      <c r="S20" s="116">
        <v>2</v>
      </c>
      <c r="T20" s="117" t="s">
        <v>269</v>
      </c>
      <c r="U20" s="117" t="s">
        <v>306</v>
      </c>
      <c r="V20" s="174" t="s">
        <v>4</v>
      </c>
      <c r="W20" s="119" t="s">
        <v>14</v>
      </c>
      <c r="X20" s="119" t="s">
        <v>9</v>
      </c>
      <c r="Y20" s="120" t="s">
        <v>271</v>
      </c>
      <c r="Z20" s="119" t="s">
        <v>19</v>
      </c>
      <c r="AA20" s="119" t="s">
        <v>22</v>
      </c>
      <c r="AB20" s="119" t="s">
        <v>119</v>
      </c>
      <c r="AC20" s="157">
        <f>IFERROR(IF(AND(V19="Probabilidad",V20="Probabilidad"),(AE19-(+AE19*Y20)),IF(V20="Probabilidad",(N19-(+N19*Y20)),IF(V20="Impacto",AE19,""))),"")</f>
        <v>0.216</v>
      </c>
      <c r="AD20" s="150" t="str">
        <f t="shared" ref="AD20" si="8">IFERROR(IF(AC20="","",IF(AC20&lt;=0.2,"Muy Baja",IF(AC20&lt;=0.4,"Baja",IF(AC20&lt;=0.6,"Media",IF(AC20&lt;=0.8,"Alta","Muy Alta"))))),"")</f>
        <v>Baja</v>
      </c>
      <c r="AE20" s="158">
        <f t="shared" si="0"/>
        <v>0.216</v>
      </c>
      <c r="AF20" s="150" t="str">
        <f t="shared" ref="AF20:AF21" si="9">IFERROR(IF(AG20="","",IF(AG20&lt;=0.2,"Leve",IF(AG20&lt;=0.4,"Menor",IF(AG20&lt;=0.6,"Moderado",IF(AG20&lt;=0.8,"Mayor","Catastrófico"))))),"")</f>
        <v>Mayor</v>
      </c>
      <c r="AG20" s="151">
        <f>IFERROR(IF(AND(V19="Impacto",V20="Impacto"),(AG19-(+AG19*Y20)),IF(V20="Impacto",($M$10-(+$M$10*Y20)),IF(V20="Probabilidad",AG19,""))),"")</f>
        <v>0.8</v>
      </c>
      <c r="AH20" s="150" t="str">
        <f t="shared" si="1"/>
        <v>Alto</v>
      </c>
      <c r="AI20" s="119" t="s">
        <v>135</v>
      </c>
      <c r="AJ20" s="137" t="s">
        <v>290</v>
      </c>
      <c r="AK20" s="137" t="s">
        <v>288</v>
      </c>
      <c r="AL20" s="137" t="s">
        <v>291</v>
      </c>
      <c r="AM20" s="142">
        <v>44693</v>
      </c>
      <c r="AN20" s="117" t="s">
        <v>315</v>
      </c>
      <c r="AO20" s="118" t="s">
        <v>40</v>
      </c>
      <c r="AP20" s="121">
        <v>44798</v>
      </c>
      <c r="AQ20" s="175" t="s">
        <v>334</v>
      </c>
      <c r="AR20" s="118" t="s">
        <v>40</v>
      </c>
      <c r="AS20" s="173" t="s">
        <v>344</v>
      </c>
      <c r="AT20" s="171">
        <v>44868</v>
      </c>
      <c r="AU20" s="118" t="s">
        <v>39</v>
      </c>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row>
    <row r="21" spans="1:73" ht="117.75" customHeight="1" x14ac:dyDescent="0.3">
      <c r="A21" s="116">
        <v>4</v>
      </c>
      <c r="B21" s="116" t="s">
        <v>228</v>
      </c>
      <c r="C21" s="139" t="s">
        <v>240</v>
      </c>
      <c r="D21" s="117" t="s">
        <v>133</v>
      </c>
      <c r="E21" s="117" t="s">
        <v>261</v>
      </c>
      <c r="F21" s="117" t="s">
        <v>262</v>
      </c>
      <c r="G21" s="165" t="s">
        <v>297</v>
      </c>
      <c r="H21" s="117" t="s">
        <v>124</v>
      </c>
      <c r="I21" s="117" t="s">
        <v>246</v>
      </c>
      <c r="J21" s="117" t="s">
        <v>250</v>
      </c>
      <c r="K21" s="118">
        <v>40</v>
      </c>
      <c r="L21" s="167" t="str">
        <f>IF(K21&lt;=0,"",IF(K21&lt;=2,"Muy Baja",IF(K21&lt;=24,"Baja",IF(K21&lt;=500,"Media",IF(K21&lt;=5000,"Alta","Muy Alta")))))</f>
        <v>Media</v>
      </c>
      <c r="M21" s="166">
        <f>IF(L21="","",IF(L21="Muy Baja",0.2,IF(L21="Baja",0.4,IF(L21="Media",0.6,IF(L21="Alta",0.8,IF(L21="Muy Alta",1,))))))</f>
        <v>0.6</v>
      </c>
      <c r="N21" s="169" t="s">
        <v>146</v>
      </c>
      <c r="O21" s="169" t="s">
        <v>146</v>
      </c>
      <c r="P21" s="167" t="str">
        <f>IF(OR(O21='[1]Tabla Impacto'!$C$11,O21='[1]Tabla Impacto'!$D$11),"Leve",IF(OR(O21='[1]Tabla Impacto'!$C$12,O21='[1]Tabla Impacto'!$D$12),"Menor",IF(OR(O21='[1]Tabla Impacto'!$C$13,O21='[1]Tabla Impacto'!$D$13),"Moderado",IF(OR(O21='[1]Tabla Impacto'!$C$14,O21='[1]Tabla Impacto'!$D$14),"Mayor",IF(OR(O21='[1]Tabla Impacto'!$C$15,O21='[1]Tabla Impacto'!$D$15),"Catastrófico","")))))</f>
        <v>Moderado</v>
      </c>
      <c r="Q21" s="166">
        <f t="shared" ref="Q21" si="10">IF(P21="","",IF(P21="Leve",0.2,IF(P21="Menor",0.4,IF(P21="Moderado",0.6,IF(P21="Mayor",0.8,IF(P21="Catastrófico",1,))))))</f>
        <v>0.6</v>
      </c>
      <c r="R21" s="168" t="str">
        <f t="shared" ref="R21" si="11">IF(OR(AND(L21="Muy Baja",P21="Leve"),AND(L21="Muy Baja",P21="Menor"),AND(L21="Baja",P21="Leve")),"Bajo",IF(OR(AND(L21="Muy baja",P21="Moderado"),AND(L21="Baja",P21="Menor"),AND(L21="Baja",P21="Moderado"),AND(L21="Media",P21="Leve"),AND(L21="Media",P21="Menor"),AND(L21="Media",P21="Moderado"),AND(L21="Alta",P21="Leve"),AND(L21="Alta",P21="Menor")),"Moderado",IF(OR(AND(L21="Muy Baja",P21="Mayor"),AND(L21="Baja",P21="Mayor"),AND(L21="Media",P21="Mayor"),AND(L21="Alta",P21="Moderado"),AND(L21="Alta",P21="Mayor"),AND(L21="Muy Alta",P21="Leve"),AND(L21="Muy Alta",P21="Menor"),AND(L21="Muy Alta",P21="Moderado"),AND(L21="Muy Alta",P21="Mayor")),"Alto",IF(OR(AND(L21="Muy Baja",P21="Catastrófico"),AND(L21="Baja",P21="Catastrófico"),AND(L21="Media",P21="Catastrófico"),AND(L21="Alta",P21="Catastrófico"),AND(L21="Muy Alta",P21="Catastrófico")),"Extremo",""))))</f>
        <v>Moderado</v>
      </c>
      <c r="S21" s="116">
        <v>1</v>
      </c>
      <c r="T21" s="117" t="s">
        <v>270</v>
      </c>
      <c r="U21" s="137" t="s">
        <v>307</v>
      </c>
      <c r="V21" s="138" t="s">
        <v>4</v>
      </c>
      <c r="W21" s="119" t="s">
        <v>14</v>
      </c>
      <c r="X21" s="119" t="s">
        <v>9</v>
      </c>
      <c r="Y21" s="120" t="s">
        <v>271</v>
      </c>
      <c r="Z21" s="119" t="s">
        <v>19</v>
      </c>
      <c r="AA21" s="119" t="s">
        <v>22</v>
      </c>
      <c r="AB21" s="119" t="s">
        <v>119</v>
      </c>
      <c r="AC21" s="149">
        <f>IFERROR(IF(V21="Probabilidad",(M21-(+M21*Y21)),IF(V21="Impacto",M21,"")),"")</f>
        <v>0.36</v>
      </c>
      <c r="AD21" s="150" t="str">
        <f>IFERROR(IF(AC21="","",IF(AC21&lt;=0.2,"Muy Baja",IF(AC21&lt;=0.4,"Baja",IF(AC21&lt;=0.6,"Media",IF(AC21&lt;=0.8,"Alta","Muy Alta"))))),"")</f>
        <v>Baja</v>
      </c>
      <c r="AE21" s="151">
        <f t="shared" si="0"/>
        <v>0.36</v>
      </c>
      <c r="AF21" s="150" t="str">
        <f t="shared" si="9"/>
        <v>Moderado</v>
      </c>
      <c r="AG21" s="151">
        <f>IFERROR(IF(V21="Impacto",(Q21-(+Q21*Y21)),IF(V21="Probabilidad",Q21,"")),"")</f>
        <v>0.6</v>
      </c>
      <c r="AH21" s="152" t="str">
        <f t="shared" ref="AH21" si="12">IFERROR(IF(OR(AND(AD21="Muy Baja",AF21="Leve"),AND(AD21="Muy Baja",AF21="Menor"),AND(AD21="Baja",AF21="Leve")),"Bajo",IF(OR(AND(AD21="Muy baja",AF21="Moderado"),AND(AD21="Baja",AF21="Menor"),AND(AD21="Baja",AF21="Moderado"),AND(AD21="Media",AF21="Leve"),AND(AD21="Media",AF21="Menor"),AND(AD21="Media",AF21="Moderado"),AND(AD21="Alta",AF21="Leve"),AND(AD21="Alta",AF21="Menor")),"Moderado",IF(OR(AND(AD21="Muy Baja",AF21="Mayor"),AND(AD21="Baja",AF21="Mayor"),AND(AD21="Media",AF21="Mayor"),AND(AD21="Alta",AF21="Moderado"),AND(AD21="Alta",AF21="Mayor"),AND(AD21="Muy Alta",AF21="Leve"),AND(AD21="Muy Alta",AF21="Menor"),AND(AD21="Muy Alta",AF21="Moderado"),AND(AD21="Muy Alta",AF21="Mayor")),"Alto",IF(OR(AND(AD21="Muy Baja",AF21="Catastrófico"),AND(AD21="Baja",AF21="Catastrófico"),AND(AD21="Media",AF21="Catastrófico"),AND(AD21="Alta",AF21="Catastrófico"),AND(AD21="Muy Alta",AF21="Catastrófico")),"Extremo","")))),"")</f>
        <v>Moderado</v>
      </c>
      <c r="AI21" s="119" t="s">
        <v>135</v>
      </c>
      <c r="AJ21" s="137" t="s">
        <v>292</v>
      </c>
      <c r="AK21" s="137" t="s">
        <v>293</v>
      </c>
      <c r="AL21" s="137" t="s">
        <v>314</v>
      </c>
      <c r="AM21" s="142">
        <v>44693</v>
      </c>
      <c r="AN21" s="117" t="s">
        <v>317</v>
      </c>
      <c r="AO21" s="118" t="s">
        <v>40</v>
      </c>
      <c r="AP21" s="121">
        <v>44798</v>
      </c>
      <c r="AQ21" s="170" t="s">
        <v>335</v>
      </c>
      <c r="AR21" s="118" t="s">
        <v>40</v>
      </c>
      <c r="AS21" s="173" t="s">
        <v>345</v>
      </c>
      <c r="AT21" s="171">
        <v>44868</v>
      </c>
      <c r="AU21" s="118" t="s">
        <v>39</v>
      </c>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row>
    <row r="22" spans="1:73" ht="49.5" customHeight="1" x14ac:dyDescent="0.3">
      <c r="A22" s="115"/>
      <c r="B22" s="135"/>
      <c r="C22" s="140"/>
      <c r="D22" s="236" t="s">
        <v>130</v>
      </c>
      <c r="E22" s="237"/>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8"/>
    </row>
    <row r="24" spans="1:73" x14ac:dyDescent="0.3">
      <c r="A24" s="122"/>
      <c r="B24" s="123"/>
      <c r="C24" s="123"/>
      <c r="D24" s="123"/>
      <c r="E24" s="123"/>
      <c r="F24" s="123"/>
      <c r="G24" s="123"/>
      <c r="H24" s="1"/>
      <c r="I24" s="1"/>
      <c r="J24" s="1"/>
      <c r="L24" s="126"/>
      <c r="M24" s="123"/>
      <c r="N24" s="123"/>
      <c r="O24" s="123"/>
      <c r="P24" s="123"/>
      <c r="Q24" s="123"/>
      <c r="R24" s="123"/>
      <c r="S24" s="123"/>
      <c r="T24" s="123"/>
      <c r="U24" s="123"/>
      <c r="V24" s="127"/>
      <c r="W24" s="127"/>
      <c r="X24" s="123"/>
      <c r="Y24" s="123"/>
      <c r="Z24" s="123"/>
      <c r="AA24" s="123"/>
      <c r="AB24" s="123"/>
      <c r="AC24" s="128"/>
      <c r="AD24" s="123"/>
      <c r="AE24" s="123"/>
      <c r="AF24" s="123"/>
      <c r="AG24" s="123"/>
      <c r="AH24" s="123"/>
      <c r="AI24" s="128"/>
      <c r="AJ24" s="128"/>
      <c r="AK24" s="123"/>
      <c r="AL24" s="123"/>
      <c r="AM24" s="123"/>
      <c r="AN24" s="123"/>
      <c r="AO24" s="123"/>
      <c r="AP24" s="123"/>
      <c r="AQ24" s="161"/>
    </row>
    <row r="25" spans="1:73" ht="18" x14ac:dyDescent="0.3">
      <c r="A25" s="239" t="s">
        <v>294</v>
      </c>
      <c r="B25" s="239"/>
      <c r="C25" s="239"/>
      <c r="D25" s="239"/>
      <c r="E25" s="239"/>
      <c r="F25" s="239"/>
      <c r="G25" s="239"/>
      <c r="H25" s="1"/>
      <c r="I25" s="1"/>
      <c r="J25" s="1"/>
      <c r="K25" s="233" t="s">
        <v>346</v>
      </c>
      <c r="L25" s="234"/>
      <c r="M25" s="234"/>
      <c r="N25" s="235"/>
      <c r="O25" s="123"/>
      <c r="P25" s="123"/>
      <c r="Q25" s="123"/>
      <c r="R25" s="123"/>
      <c r="S25" s="123"/>
      <c r="T25" s="123"/>
      <c r="U25" s="128"/>
      <c r="V25" s="127"/>
      <c r="W25" s="127"/>
      <c r="X25" s="123"/>
      <c r="Y25" s="127"/>
      <c r="Z25" s="127"/>
      <c r="AA25" s="123"/>
      <c r="AB25" s="123"/>
      <c r="AC25" s="128"/>
      <c r="AD25" s="123"/>
      <c r="AE25" s="123"/>
      <c r="AF25" s="123"/>
      <c r="AG25" s="123"/>
      <c r="AH25" s="123"/>
      <c r="AI25" s="123"/>
      <c r="AJ25" s="123"/>
      <c r="AK25" s="123"/>
      <c r="AL25" s="123"/>
      <c r="AM25" s="123"/>
      <c r="AN25" s="123"/>
      <c r="AO25" s="123"/>
      <c r="AP25" s="123"/>
      <c r="AQ25" s="161"/>
    </row>
    <row r="26" spans="1:73" ht="17.25" thickBot="1" x14ac:dyDescent="0.35">
      <c r="A26"/>
      <c r="B26"/>
      <c r="C26" s="130"/>
      <c r="D26"/>
      <c r="E26"/>
      <c r="F26"/>
      <c r="G26"/>
      <c r="H26" s="1"/>
      <c r="I26" s="1"/>
      <c r="J26" s="1"/>
      <c r="L26" s="124" t="str">
        <f>+IFERROR(VLOOKUP(H26,$H$181:$L$185,3,FALSE)*VLOOKUP(K26,$K$181:$L$185,3,FALSE),"")</f>
        <v/>
      </c>
      <c r="M26"/>
      <c r="N26"/>
      <c r="O26"/>
      <c r="P26"/>
      <c r="Q26"/>
      <c r="R26"/>
      <c r="S26"/>
      <c r="T26"/>
      <c r="U26"/>
      <c r="V26" s="124"/>
      <c r="W26" s="125"/>
      <c r="X26"/>
      <c r="Y26" s="125"/>
      <c r="Z26" s="125"/>
      <c r="AA26" s="130"/>
      <c r="AB26" s="130"/>
      <c r="AC26" s="154"/>
      <c r="AD26" s="130"/>
      <c r="AE26" s="129"/>
      <c r="AF26" s="129"/>
      <c r="AG26" s="130"/>
      <c r="AH26" s="131"/>
      <c r="AI26"/>
      <c r="AJ26"/>
      <c r="AK26"/>
      <c r="AL26" s="130"/>
      <c r="AM26"/>
      <c r="AN26" s="130"/>
      <c r="AO26"/>
      <c r="AP26" s="130"/>
      <c r="AQ26" s="164"/>
    </row>
    <row r="27" spans="1:73" ht="17.45" customHeight="1" thickTop="1" thickBot="1" x14ac:dyDescent="0.35">
      <c r="A27" s="231" t="s">
        <v>217</v>
      </c>
      <c r="B27" s="231"/>
      <c r="C27" s="231"/>
      <c r="D27" s="231"/>
      <c r="E27" s="231"/>
      <c r="F27" s="231"/>
      <c r="G27" s="133" t="s">
        <v>218</v>
      </c>
      <c r="H27" s="231" t="s">
        <v>219</v>
      </c>
      <c r="I27" s="231"/>
      <c r="J27" s="231"/>
      <c r="K27" s="231"/>
      <c r="L27" s="231"/>
      <c r="M27" s="231"/>
      <c r="N27" s="231"/>
      <c r="O27" s="134"/>
      <c r="P27" s="232" t="s">
        <v>220</v>
      </c>
      <c r="Q27" s="232"/>
      <c r="R27" s="232"/>
      <c r="S27" s="231" t="s">
        <v>221</v>
      </c>
      <c r="T27" s="231"/>
      <c r="U27" s="231"/>
      <c r="V27" s="231"/>
      <c r="W27" s="232">
        <v>1</v>
      </c>
      <c r="X27" s="232"/>
      <c r="Y27" s="232"/>
      <c r="Z27" s="232"/>
      <c r="AA27" s="132"/>
      <c r="AB27" s="132"/>
      <c r="AC27" s="155"/>
      <c r="AD27" s="132"/>
      <c r="AE27" s="132"/>
      <c r="AF27" s="132"/>
      <c r="AG27" s="132"/>
      <c r="AH27" s="132"/>
      <c r="AI27" s="132"/>
      <c r="AJ27" s="132"/>
      <c r="AK27" s="132"/>
      <c r="AL27" s="132"/>
      <c r="AM27" s="132"/>
      <c r="AN27" s="132"/>
      <c r="AO27" s="132"/>
      <c r="AP27" s="132"/>
      <c r="AQ27" s="162"/>
    </row>
    <row r="28" spans="1:73" ht="17.25" thickTop="1" x14ac:dyDescent="0.3"/>
  </sheetData>
  <dataConsolidate/>
  <mergeCells count="121">
    <mergeCell ref="N19:N20"/>
    <mergeCell ref="L12:L15"/>
    <mergeCell ref="P12:P15"/>
    <mergeCell ref="O12:O15"/>
    <mergeCell ref="I19:I20"/>
    <mergeCell ref="J19:J20"/>
    <mergeCell ref="P19:P20"/>
    <mergeCell ref="Q19:Q20"/>
    <mergeCell ref="R19:R20"/>
    <mergeCell ref="N16:N18"/>
    <mergeCell ref="O16:O18"/>
    <mergeCell ref="P16:P18"/>
    <mergeCell ref="Q16:Q18"/>
    <mergeCell ref="R16:R18"/>
    <mergeCell ref="K12:K15"/>
    <mergeCell ref="A12:A15"/>
    <mergeCell ref="B12:B15"/>
    <mergeCell ref="C12:C15"/>
    <mergeCell ref="I12:I15"/>
    <mergeCell ref="J12:J15"/>
    <mergeCell ref="A16:A18"/>
    <mergeCell ref="B16:B18"/>
    <mergeCell ref="C16:C18"/>
    <mergeCell ref="I16:I18"/>
    <mergeCell ref="J16:J18"/>
    <mergeCell ref="A19:A20"/>
    <mergeCell ref="B19:B20"/>
    <mergeCell ref="C19:C20"/>
    <mergeCell ref="K19:K20"/>
    <mergeCell ref="L19:L20"/>
    <mergeCell ref="M19:M20"/>
    <mergeCell ref="AC8:AI8"/>
    <mergeCell ref="O19:O20"/>
    <mergeCell ref="S8:AB8"/>
    <mergeCell ref="S9:S10"/>
    <mergeCell ref="T9:T10"/>
    <mergeCell ref="D19:D20"/>
    <mergeCell ref="E19:E20"/>
    <mergeCell ref="F19:F20"/>
    <mergeCell ref="G19:G20"/>
    <mergeCell ref="H19:H20"/>
    <mergeCell ref="D16:D18"/>
    <mergeCell ref="E16:E18"/>
    <mergeCell ref="F16:F18"/>
    <mergeCell ref="G16:G18"/>
    <mergeCell ref="H16:H18"/>
    <mergeCell ref="K16:K18"/>
    <mergeCell ref="L16:L18"/>
    <mergeCell ref="M16:M18"/>
    <mergeCell ref="H9:H10"/>
    <mergeCell ref="M12:M15"/>
    <mergeCell ref="E1:AS4"/>
    <mergeCell ref="AP9:AP10"/>
    <mergeCell ref="AQ9:AQ10"/>
    <mergeCell ref="A5:B5"/>
    <mergeCell ref="A6:B6"/>
    <mergeCell ref="A7:B7"/>
    <mergeCell ref="A8:K8"/>
    <mergeCell ref="D12:D15"/>
    <mergeCell ref="E12:E15"/>
    <mergeCell ref="F12:F15"/>
    <mergeCell ref="G12:G15"/>
    <mergeCell ref="H12:H15"/>
    <mergeCell ref="AJ8:AU8"/>
    <mergeCell ref="AR9:AR10"/>
    <mergeCell ref="AS9:AS10"/>
    <mergeCell ref="AT9:AT10"/>
    <mergeCell ref="Q12:Q15"/>
    <mergeCell ref="R12:R15"/>
    <mergeCell ref="AN9:AN10"/>
    <mergeCell ref="AM9:AM10"/>
    <mergeCell ref="AL9:AL10"/>
    <mergeCell ref="AK9:AK10"/>
    <mergeCell ref="M9:M10"/>
    <mergeCell ref="L8:R8"/>
    <mergeCell ref="S27:V27"/>
    <mergeCell ref="W27:Z27"/>
    <mergeCell ref="A27:F27"/>
    <mergeCell ref="K25:N25"/>
    <mergeCell ref="H27:N27"/>
    <mergeCell ref="P27:R27"/>
    <mergeCell ref="D22:AO22"/>
    <mergeCell ref="A25:G25"/>
    <mergeCell ref="G9:G10"/>
    <mergeCell ref="F9:F10"/>
    <mergeCell ref="E9:E10"/>
    <mergeCell ref="D9:D10"/>
    <mergeCell ref="R9:R10"/>
    <mergeCell ref="N9:N10"/>
    <mergeCell ref="O9:O10"/>
    <mergeCell ref="AO9:AO10"/>
    <mergeCell ref="C9:C10"/>
    <mergeCell ref="B9:B10"/>
    <mergeCell ref="V9:V10"/>
    <mergeCell ref="Q9:Q10"/>
    <mergeCell ref="W9:AB9"/>
    <mergeCell ref="A9:A10"/>
    <mergeCell ref="P9:P10"/>
    <mergeCell ref="N12:N15"/>
    <mergeCell ref="AT1:AU1"/>
    <mergeCell ref="AT2:AU2"/>
    <mergeCell ref="AT3:AU3"/>
    <mergeCell ref="AT4:AU4"/>
    <mergeCell ref="AJ9:AJ10"/>
    <mergeCell ref="C7:AU7"/>
    <mergeCell ref="C6:AU6"/>
    <mergeCell ref="C5:AU5"/>
    <mergeCell ref="I9:I10"/>
    <mergeCell ref="J9:J10"/>
    <mergeCell ref="AI9:AI10"/>
    <mergeCell ref="AH9:AH10"/>
    <mergeCell ref="AG9:AG10"/>
    <mergeCell ref="AC9:AC10"/>
    <mergeCell ref="U9:U10"/>
    <mergeCell ref="AU9:AU10"/>
    <mergeCell ref="A1:D4"/>
    <mergeCell ref="AF9:AF10"/>
    <mergeCell ref="AD9:AD10"/>
    <mergeCell ref="AE9:AE10"/>
    <mergeCell ref="K9:K10"/>
    <mergeCell ref="L9:L10"/>
  </mergeCells>
  <conditionalFormatting sqref="AE24:AE26">
    <cfRule type="cellIs" dxfId="208" priority="352" stopIfTrue="1" operator="equal">
      <formula>#REF!</formula>
    </cfRule>
    <cfRule type="cellIs" dxfId="207" priority="353" operator="equal">
      <formula>#REF!</formula>
    </cfRule>
    <cfRule type="cellIs" dxfId="206" priority="354" operator="equal">
      <formula>#REF!</formula>
    </cfRule>
  </conditionalFormatting>
  <conditionalFormatting sqref="AF24:AF26">
    <cfRule type="cellIs" dxfId="205" priority="355" stopIfTrue="1" operator="equal">
      <formula>#REF!</formula>
    </cfRule>
    <cfRule type="cellIs" dxfId="204" priority="356" stopIfTrue="1" operator="equal">
      <formula>#REF!</formula>
    </cfRule>
    <cfRule type="cellIs" dxfId="203" priority="357" stopIfTrue="1" operator="equal">
      <formula>#REF!</formula>
    </cfRule>
  </conditionalFormatting>
  <conditionalFormatting sqref="L12">
    <cfRule type="cellIs" dxfId="202" priority="347" operator="equal">
      <formula>"Muy Alta"</formula>
    </cfRule>
    <cfRule type="cellIs" dxfId="201" priority="348" operator="equal">
      <formula>"Alta"</formula>
    </cfRule>
    <cfRule type="cellIs" dxfId="200" priority="349" operator="equal">
      <formula>"Media"</formula>
    </cfRule>
    <cfRule type="cellIs" dxfId="199" priority="350" operator="equal">
      <formula>"Baja"</formula>
    </cfRule>
    <cfRule type="cellIs" dxfId="198" priority="351" operator="equal">
      <formula>"Muy Baja"</formula>
    </cfRule>
  </conditionalFormatting>
  <conditionalFormatting sqref="P12">
    <cfRule type="cellIs" dxfId="197" priority="342" operator="equal">
      <formula>"Catastrófico"</formula>
    </cfRule>
    <cfRule type="cellIs" dxfId="196" priority="343" operator="equal">
      <formula>"Mayor"</formula>
    </cfRule>
    <cfRule type="cellIs" dxfId="195" priority="344" operator="equal">
      <formula>"Moderado"</formula>
    </cfRule>
    <cfRule type="cellIs" dxfId="194" priority="345" operator="equal">
      <formula>"Menor"</formula>
    </cfRule>
    <cfRule type="cellIs" dxfId="193" priority="346" operator="equal">
      <formula>"Leve"</formula>
    </cfRule>
  </conditionalFormatting>
  <conditionalFormatting sqref="R12">
    <cfRule type="cellIs" dxfId="192" priority="338" operator="equal">
      <formula>"Extremo"</formula>
    </cfRule>
    <cfRule type="cellIs" dxfId="191" priority="339" operator="equal">
      <formula>"Alto"</formula>
    </cfRule>
    <cfRule type="cellIs" dxfId="190" priority="340" operator="equal">
      <formula>"Moderado"</formula>
    </cfRule>
    <cfRule type="cellIs" dxfId="189" priority="341" operator="equal">
      <formula>"Bajo"</formula>
    </cfRule>
  </conditionalFormatting>
  <conditionalFormatting sqref="O12:O15">
    <cfRule type="containsText" dxfId="188" priority="297" operator="containsText" text="❌">
      <formula>NOT(ISERROR(SEARCH("❌",O12)))</formula>
    </cfRule>
  </conditionalFormatting>
  <conditionalFormatting sqref="AD12">
    <cfRule type="cellIs" dxfId="187" priority="208" operator="equal">
      <formula>"Muy Alta"</formula>
    </cfRule>
    <cfRule type="cellIs" dxfId="186" priority="209" operator="equal">
      <formula>"Alta"</formula>
    </cfRule>
    <cfRule type="cellIs" dxfId="185" priority="210" operator="equal">
      <formula>"Media"</formula>
    </cfRule>
    <cfRule type="cellIs" dxfId="184" priority="211" operator="equal">
      <formula>"Baja"</formula>
    </cfRule>
    <cfRule type="cellIs" dxfId="183" priority="212" operator="equal">
      <formula>"Muy Baja"</formula>
    </cfRule>
  </conditionalFormatting>
  <conditionalFormatting sqref="AF12">
    <cfRule type="cellIs" dxfId="182" priority="203" operator="equal">
      <formula>"Catastrófico"</formula>
    </cfRule>
    <cfRule type="cellIs" dxfId="181" priority="204" operator="equal">
      <formula>"Mayor"</formula>
    </cfRule>
    <cfRule type="cellIs" dxfId="180" priority="205" operator="equal">
      <formula>"Moderado"</formula>
    </cfRule>
    <cfRule type="cellIs" dxfId="179" priority="206" operator="equal">
      <formula>"Menor"</formula>
    </cfRule>
    <cfRule type="cellIs" dxfId="178" priority="207" operator="equal">
      <formula>"Leve"</formula>
    </cfRule>
  </conditionalFormatting>
  <conditionalFormatting sqref="AH12">
    <cfRule type="cellIs" dxfId="177" priority="199" operator="equal">
      <formula>"Extremo"</formula>
    </cfRule>
    <cfRule type="cellIs" dxfId="176" priority="200" operator="equal">
      <formula>"Alto"</formula>
    </cfRule>
    <cfRule type="cellIs" dxfId="175" priority="201" operator="equal">
      <formula>"Moderado"</formula>
    </cfRule>
    <cfRule type="cellIs" dxfId="174" priority="202" operator="equal">
      <formula>"Bajo"</formula>
    </cfRule>
  </conditionalFormatting>
  <conditionalFormatting sqref="AD13">
    <cfRule type="cellIs" dxfId="173" priority="194" operator="equal">
      <formula>"Muy Alta"</formula>
    </cfRule>
    <cfRule type="cellIs" dxfId="172" priority="195" operator="equal">
      <formula>"Alta"</formula>
    </cfRule>
    <cfRule type="cellIs" dxfId="171" priority="196" operator="equal">
      <formula>"Media"</formula>
    </cfRule>
    <cfRule type="cellIs" dxfId="170" priority="197" operator="equal">
      <formula>"Baja"</formula>
    </cfRule>
    <cfRule type="cellIs" dxfId="169" priority="198" operator="equal">
      <formula>"Muy Baja"</formula>
    </cfRule>
  </conditionalFormatting>
  <conditionalFormatting sqref="AF13">
    <cfRule type="cellIs" dxfId="168" priority="189" operator="equal">
      <formula>"Catastrófico"</formula>
    </cfRule>
    <cfRule type="cellIs" dxfId="167" priority="190" operator="equal">
      <formula>"Mayor"</formula>
    </cfRule>
    <cfRule type="cellIs" dxfId="166" priority="191" operator="equal">
      <formula>"Moderado"</formula>
    </cfRule>
    <cfRule type="cellIs" dxfId="165" priority="192" operator="equal">
      <formula>"Menor"</formula>
    </cfRule>
    <cfRule type="cellIs" dxfId="164" priority="193" operator="equal">
      <formula>"Leve"</formula>
    </cfRule>
  </conditionalFormatting>
  <conditionalFormatting sqref="AH13">
    <cfRule type="cellIs" dxfId="163" priority="185" operator="equal">
      <formula>"Extremo"</formula>
    </cfRule>
    <cfRule type="cellIs" dxfId="162" priority="186" operator="equal">
      <formula>"Alto"</formula>
    </cfRule>
    <cfRule type="cellIs" dxfId="161" priority="187" operator="equal">
      <formula>"Moderado"</formula>
    </cfRule>
    <cfRule type="cellIs" dxfId="160" priority="188" operator="equal">
      <formula>"Bajo"</formula>
    </cfRule>
  </conditionalFormatting>
  <conditionalFormatting sqref="AD14">
    <cfRule type="cellIs" dxfId="159" priority="180" operator="equal">
      <formula>"Muy Alta"</formula>
    </cfRule>
    <cfRule type="cellIs" dxfId="158" priority="181" operator="equal">
      <formula>"Alta"</formula>
    </cfRule>
    <cfRule type="cellIs" dxfId="157" priority="182" operator="equal">
      <formula>"Media"</formula>
    </cfRule>
    <cfRule type="cellIs" dxfId="156" priority="183" operator="equal">
      <formula>"Baja"</formula>
    </cfRule>
    <cfRule type="cellIs" dxfId="155" priority="184" operator="equal">
      <formula>"Muy Baja"</formula>
    </cfRule>
  </conditionalFormatting>
  <conditionalFormatting sqref="AF14">
    <cfRule type="cellIs" dxfId="154" priority="175" operator="equal">
      <formula>"Catastrófico"</formula>
    </cfRule>
    <cfRule type="cellIs" dxfId="153" priority="176" operator="equal">
      <formula>"Mayor"</formula>
    </cfRule>
    <cfRule type="cellIs" dxfId="152" priority="177" operator="equal">
      <formula>"Moderado"</formula>
    </cfRule>
    <cfRule type="cellIs" dxfId="151" priority="178" operator="equal">
      <formula>"Menor"</formula>
    </cfRule>
    <cfRule type="cellIs" dxfId="150" priority="179" operator="equal">
      <formula>"Leve"</formula>
    </cfRule>
  </conditionalFormatting>
  <conditionalFormatting sqref="AH14">
    <cfRule type="cellIs" dxfId="149" priority="171" operator="equal">
      <formula>"Extremo"</formula>
    </cfRule>
    <cfRule type="cellIs" dxfId="148" priority="172" operator="equal">
      <formula>"Alto"</formula>
    </cfRule>
    <cfRule type="cellIs" dxfId="147" priority="173" operator="equal">
      <formula>"Moderado"</formula>
    </cfRule>
    <cfRule type="cellIs" dxfId="146" priority="174" operator="equal">
      <formula>"Bajo"</formula>
    </cfRule>
  </conditionalFormatting>
  <conditionalFormatting sqref="AD15">
    <cfRule type="cellIs" dxfId="145" priority="166" operator="equal">
      <formula>"Muy Alta"</formula>
    </cfRule>
    <cfRule type="cellIs" dxfId="144" priority="167" operator="equal">
      <formula>"Alta"</formula>
    </cfRule>
    <cfRule type="cellIs" dxfId="143" priority="168" operator="equal">
      <formula>"Media"</formula>
    </cfRule>
    <cfRule type="cellIs" dxfId="142" priority="169" operator="equal">
      <formula>"Baja"</formula>
    </cfRule>
    <cfRule type="cellIs" dxfId="141" priority="170" operator="equal">
      <formula>"Muy Baja"</formula>
    </cfRule>
  </conditionalFormatting>
  <conditionalFormatting sqref="AF15">
    <cfRule type="cellIs" dxfId="140" priority="161" operator="equal">
      <formula>"Catastrófico"</formula>
    </cfRule>
    <cfRule type="cellIs" dxfId="139" priority="162" operator="equal">
      <formula>"Mayor"</formula>
    </cfRule>
    <cfRule type="cellIs" dxfId="138" priority="163" operator="equal">
      <formula>"Moderado"</formula>
    </cfRule>
    <cfRule type="cellIs" dxfId="137" priority="164" operator="equal">
      <formula>"Menor"</formula>
    </cfRule>
    <cfRule type="cellIs" dxfId="136" priority="165" operator="equal">
      <formula>"Leve"</formula>
    </cfRule>
  </conditionalFormatting>
  <conditionalFormatting sqref="AH15">
    <cfRule type="cellIs" dxfId="135" priority="157" operator="equal">
      <formula>"Extremo"</formula>
    </cfRule>
    <cfRule type="cellIs" dxfId="134" priority="158" operator="equal">
      <formula>"Alto"</formula>
    </cfRule>
    <cfRule type="cellIs" dxfId="133" priority="159" operator="equal">
      <formula>"Moderado"</formula>
    </cfRule>
    <cfRule type="cellIs" dxfId="132" priority="160" operator="equal">
      <formula>"Bajo"</formula>
    </cfRule>
  </conditionalFormatting>
  <conditionalFormatting sqref="AD16">
    <cfRule type="cellIs" dxfId="131" priority="152" operator="equal">
      <formula>"Muy Alta"</formula>
    </cfRule>
    <cfRule type="cellIs" dxfId="130" priority="153" operator="equal">
      <formula>"Alta"</formula>
    </cfRule>
    <cfRule type="cellIs" dxfId="129" priority="154" operator="equal">
      <formula>"Media"</formula>
    </cfRule>
    <cfRule type="cellIs" dxfId="128" priority="155" operator="equal">
      <formula>"Baja"</formula>
    </cfRule>
    <cfRule type="cellIs" dxfId="127" priority="156" operator="equal">
      <formula>"Muy Baja"</formula>
    </cfRule>
  </conditionalFormatting>
  <conditionalFormatting sqref="AF16">
    <cfRule type="cellIs" dxfId="126" priority="147" operator="equal">
      <formula>"Catastrófico"</formula>
    </cfRule>
    <cfRule type="cellIs" dxfId="125" priority="148" operator="equal">
      <formula>"Mayor"</formula>
    </cfRule>
    <cfRule type="cellIs" dxfId="124" priority="149" operator="equal">
      <formula>"Moderado"</formula>
    </cfRule>
    <cfRule type="cellIs" dxfId="123" priority="150" operator="equal">
      <formula>"Menor"</formula>
    </cfRule>
    <cfRule type="cellIs" dxfId="122" priority="151" operator="equal">
      <formula>"Leve"</formula>
    </cfRule>
  </conditionalFormatting>
  <conditionalFormatting sqref="AH16">
    <cfRule type="cellIs" dxfId="121" priority="143" operator="equal">
      <formula>"Extremo"</formula>
    </cfRule>
    <cfRule type="cellIs" dxfId="120" priority="144" operator="equal">
      <formula>"Alto"</formula>
    </cfRule>
    <cfRule type="cellIs" dxfId="119" priority="145" operator="equal">
      <formula>"Moderado"</formula>
    </cfRule>
    <cfRule type="cellIs" dxfId="118" priority="146" operator="equal">
      <formula>"Bajo"</formula>
    </cfRule>
  </conditionalFormatting>
  <conditionalFormatting sqref="AD17">
    <cfRule type="cellIs" dxfId="117" priority="138" operator="equal">
      <formula>"Muy Alta"</formula>
    </cfRule>
    <cfRule type="cellIs" dxfId="116" priority="139" operator="equal">
      <formula>"Alta"</formula>
    </cfRule>
    <cfRule type="cellIs" dxfId="115" priority="140" operator="equal">
      <formula>"Media"</formula>
    </cfRule>
    <cfRule type="cellIs" dxfId="114" priority="141" operator="equal">
      <formula>"Baja"</formula>
    </cfRule>
    <cfRule type="cellIs" dxfId="113" priority="142" operator="equal">
      <formula>"Muy Baja"</formula>
    </cfRule>
  </conditionalFormatting>
  <conditionalFormatting sqref="AF17">
    <cfRule type="cellIs" dxfId="112" priority="133" operator="equal">
      <formula>"Catastrófico"</formula>
    </cfRule>
    <cfRule type="cellIs" dxfId="111" priority="134" operator="equal">
      <formula>"Mayor"</formula>
    </cfRule>
    <cfRule type="cellIs" dxfId="110" priority="135" operator="equal">
      <formula>"Moderado"</formula>
    </cfRule>
    <cfRule type="cellIs" dxfId="109" priority="136" operator="equal">
      <formula>"Menor"</formula>
    </cfRule>
    <cfRule type="cellIs" dxfId="108" priority="137" operator="equal">
      <formula>"Leve"</formula>
    </cfRule>
  </conditionalFormatting>
  <conditionalFormatting sqref="AH17">
    <cfRule type="cellIs" dxfId="107" priority="129" operator="equal">
      <formula>"Extremo"</formula>
    </cfRule>
    <cfRule type="cellIs" dxfId="106" priority="130" operator="equal">
      <formula>"Alto"</formula>
    </cfRule>
    <cfRule type="cellIs" dxfId="105" priority="131" operator="equal">
      <formula>"Moderado"</formula>
    </cfRule>
    <cfRule type="cellIs" dxfId="104" priority="132" operator="equal">
      <formula>"Bajo"</formula>
    </cfRule>
  </conditionalFormatting>
  <conditionalFormatting sqref="AD18">
    <cfRule type="cellIs" dxfId="103" priority="124" operator="equal">
      <formula>"Muy Alta"</formula>
    </cfRule>
    <cfRule type="cellIs" dxfId="102" priority="125" operator="equal">
      <formula>"Alta"</formula>
    </cfRule>
    <cfRule type="cellIs" dxfId="101" priority="126" operator="equal">
      <formula>"Media"</formula>
    </cfRule>
    <cfRule type="cellIs" dxfId="100" priority="127" operator="equal">
      <formula>"Baja"</formula>
    </cfRule>
    <cfRule type="cellIs" dxfId="99" priority="128" operator="equal">
      <formula>"Muy Baja"</formula>
    </cfRule>
  </conditionalFormatting>
  <conditionalFormatting sqref="AF18">
    <cfRule type="cellIs" dxfId="98" priority="119" operator="equal">
      <formula>"Catastrófico"</formula>
    </cfRule>
    <cfRule type="cellIs" dxfId="97" priority="120" operator="equal">
      <formula>"Mayor"</formula>
    </cfRule>
    <cfRule type="cellIs" dxfId="96" priority="121" operator="equal">
      <formula>"Moderado"</formula>
    </cfRule>
    <cfRule type="cellIs" dxfId="95" priority="122" operator="equal">
      <formula>"Menor"</formula>
    </cfRule>
    <cfRule type="cellIs" dxfId="94" priority="123" operator="equal">
      <formula>"Leve"</formula>
    </cfRule>
  </conditionalFormatting>
  <conditionalFormatting sqref="AH18">
    <cfRule type="cellIs" dxfId="93" priority="115" operator="equal">
      <formula>"Extremo"</formula>
    </cfRule>
    <cfRule type="cellIs" dxfId="92" priority="116" operator="equal">
      <formula>"Alto"</formula>
    </cfRule>
    <cfRule type="cellIs" dxfId="91" priority="117" operator="equal">
      <formula>"Moderado"</formula>
    </cfRule>
    <cfRule type="cellIs" dxfId="90" priority="118" operator="equal">
      <formula>"Bajo"</formula>
    </cfRule>
  </conditionalFormatting>
  <conditionalFormatting sqref="L19">
    <cfRule type="cellIs" dxfId="89" priority="82" operator="equal">
      <formula>"Muy Alta"</formula>
    </cfRule>
    <cfRule type="cellIs" dxfId="88" priority="83" operator="equal">
      <formula>"Alta"</formula>
    </cfRule>
    <cfRule type="cellIs" dxfId="87" priority="84" operator="equal">
      <formula>"Media"</formula>
    </cfRule>
    <cfRule type="cellIs" dxfId="86" priority="85" operator="equal">
      <formula>"Baja"</formula>
    </cfRule>
    <cfRule type="cellIs" dxfId="85" priority="86" operator="equal">
      <formula>"Muy Baja"</formula>
    </cfRule>
  </conditionalFormatting>
  <conditionalFormatting sqref="P19">
    <cfRule type="cellIs" dxfId="84" priority="77" operator="equal">
      <formula>"Catastrófico"</formula>
    </cfRule>
    <cfRule type="cellIs" dxfId="83" priority="78" operator="equal">
      <formula>"Mayor"</formula>
    </cfRule>
    <cfRule type="cellIs" dxfId="82" priority="79" operator="equal">
      <formula>"Moderado"</formula>
    </cfRule>
    <cfRule type="cellIs" dxfId="81" priority="80" operator="equal">
      <formula>"Menor"</formula>
    </cfRule>
    <cfRule type="cellIs" dxfId="80" priority="81" operator="equal">
      <formula>"Leve"</formula>
    </cfRule>
  </conditionalFormatting>
  <conditionalFormatting sqref="R19">
    <cfRule type="cellIs" dxfId="79" priority="73" operator="equal">
      <formula>"Extremo"</formula>
    </cfRule>
    <cfRule type="cellIs" dxfId="78" priority="74" operator="equal">
      <formula>"Alto"</formula>
    </cfRule>
    <cfRule type="cellIs" dxfId="77" priority="75" operator="equal">
      <formula>"Moderado"</formula>
    </cfRule>
    <cfRule type="cellIs" dxfId="76" priority="76" operator="equal">
      <formula>"Bajo"</formula>
    </cfRule>
  </conditionalFormatting>
  <conditionalFormatting sqref="O19">
    <cfRule type="containsText" dxfId="75" priority="72" operator="containsText" text="❌">
      <formula>NOT(ISERROR(SEARCH("❌",O19)))</formula>
    </cfRule>
  </conditionalFormatting>
  <conditionalFormatting sqref="L16">
    <cfRule type="cellIs" dxfId="74" priority="67" operator="equal">
      <formula>"Muy Alta"</formula>
    </cfRule>
    <cfRule type="cellIs" dxfId="73" priority="68" operator="equal">
      <formula>"Alta"</formula>
    </cfRule>
    <cfRule type="cellIs" dxfId="72" priority="69" operator="equal">
      <formula>"Media"</formula>
    </cfRule>
    <cfRule type="cellIs" dxfId="71" priority="70" operator="equal">
      <formula>"Baja"</formula>
    </cfRule>
    <cfRule type="cellIs" dxfId="70" priority="71" operator="equal">
      <formula>"Muy Baja"</formula>
    </cfRule>
  </conditionalFormatting>
  <conditionalFormatting sqref="P16">
    <cfRule type="cellIs" dxfId="69" priority="62" operator="equal">
      <formula>"Catastrófico"</formula>
    </cfRule>
    <cfRule type="cellIs" dxfId="68" priority="63" operator="equal">
      <formula>"Mayor"</formula>
    </cfRule>
    <cfRule type="cellIs" dxfId="67" priority="64" operator="equal">
      <formula>"Moderado"</formula>
    </cfRule>
    <cfRule type="cellIs" dxfId="66" priority="65" operator="equal">
      <formula>"Menor"</formula>
    </cfRule>
    <cfRule type="cellIs" dxfId="65" priority="66" operator="equal">
      <formula>"Leve"</formula>
    </cfRule>
  </conditionalFormatting>
  <conditionalFormatting sqref="R16">
    <cfRule type="cellIs" dxfId="64" priority="58" operator="equal">
      <formula>"Extremo"</formula>
    </cfRule>
    <cfRule type="cellIs" dxfId="63" priority="59" operator="equal">
      <formula>"Alto"</formula>
    </cfRule>
    <cfRule type="cellIs" dxfId="62" priority="60" operator="equal">
      <formula>"Moderado"</formula>
    </cfRule>
    <cfRule type="cellIs" dxfId="61" priority="61" operator="equal">
      <formula>"Bajo"</formula>
    </cfRule>
  </conditionalFormatting>
  <conditionalFormatting sqref="O16">
    <cfRule type="containsText" dxfId="60" priority="57" operator="containsText" text="❌">
      <formula>NOT(ISERROR(SEARCH("❌",O16)))</formula>
    </cfRule>
  </conditionalFormatting>
  <conditionalFormatting sqref="AD19">
    <cfRule type="cellIs" dxfId="59" priority="52" operator="equal">
      <formula>"Muy Alta"</formula>
    </cfRule>
    <cfRule type="cellIs" dxfId="58" priority="53" operator="equal">
      <formula>"Alta"</formula>
    </cfRule>
    <cfRule type="cellIs" dxfId="57" priority="54" operator="equal">
      <formula>"Media"</formula>
    </cfRule>
    <cfRule type="cellIs" dxfId="56" priority="55" operator="equal">
      <formula>"Baja"</formula>
    </cfRule>
    <cfRule type="cellIs" dxfId="55" priority="56" operator="equal">
      <formula>"Muy Baja"</formula>
    </cfRule>
  </conditionalFormatting>
  <conditionalFormatting sqref="AF19">
    <cfRule type="cellIs" dxfId="54" priority="47" operator="equal">
      <formula>"Catastrófico"</formula>
    </cfRule>
    <cfRule type="cellIs" dxfId="53" priority="48" operator="equal">
      <formula>"Mayor"</formula>
    </cfRule>
    <cfRule type="cellIs" dxfId="52" priority="49" operator="equal">
      <formula>"Moderado"</formula>
    </cfRule>
    <cfRule type="cellIs" dxfId="51" priority="50" operator="equal">
      <formula>"Menor"</formula>
    </cfRule>
    <cfRule type="cellIs" dxfId="50" priority="51" operator="equal">
      <formula>"Leve"</formula>
    </cfRule>
  </conditionalFormatting>
  <conditionalFormatting sqref="AH19">
    <cfRule type="cellIs" dxfId="49" priority="43" operator="equal">
      <formula>"Extremo"</formula>
    </cfRule>
    <cfRule type="cellIs" dxfId="48" priority="44" operator="equal">
      <formula>"Alto"</formula>
    </cfRule>
    <cfRule type="cellIs" dxfId="47" priority="45" operator="equal">
      <formula>"Moderado"</formula>
    </cfRule>
    <cfRule type="cellIs" dxfId="46" priority="46" operator="equal">
      <formula>"Bajo"</formula>
    </cfRule>
  </conditionalFormatting>
  <conditionalFormatting sqref="AD20">
    <cfRule type="cellIs" dxfId="45" priority="38" operator="equal">
      <formula>"Muy Alta"</formula>
    </cfRule>
    <cfRule type="cellIs" dxfId="44" priority="39" operator="equal">
      <formula>"Alta"</formula>
    </cfRule>
    <cfRule type="cellIs" dxfId="43" priority="40" operator="equal">
      <formula>"Media"</formula>
    </cfRule>
    <cfRule type="cellIs" dxfId="42" priority="41" operator="equal">
      <formula>"Baja"</formula>
    </cfRule>
    <cfRule type="cellIs" dxfId="41" priority="42" operator="equal">
      <formula>"Muy Baja"</formula>
    </cfRule>
  </conditionalFormatting>
  <conditionalFormatting sqref="AF20">
    <cfRule type="cellIs" dxfId="40" priority="33" operator="equal">
      <formula>"Catastrófico"</formula>
    </cfRule>
    <cfRule type="cellIs" dxfId="39" priority="34" operator="equal">
      <formula>"Mayor"</formula>
    </cfRule>
    <cfRule type="cellIs" dxfId="38" priority="35" operator="equal">
      <formula>"Moderado"</formula>
    </cfRule>
    <cfRule type="cellIs" dxfId="37" priority="36" operator="equal">
      <formula>"Menor"</formula>
    </cfRule>
    <cfRule type="cellIs" dxfId="36" priority="37" operator="equal">
      <formula>"Leve"</formula>
    </cfRule>
  </conditionalFormatting>
  <conditionalFormatting sqref="AH20">
    <cfRule type="cellIs" dxfId="35" priority="29" operator="equal">
      <formula>"Extremo"</formula>
    </cfRule>
    <cfRule type="cellIs" dxfId="34" priority="30" operator="equal">
      <formula>"Alto"</formula>
    </cfRule>
    <cfRule type="cellIs" dxfId="33" priority="31" operator="equal">
      <formula>"Moderado"</formula>
    </cfRule>
    <cfRule type="cellIs" dxfId="32" priority="32" operator="equal">
      <formula>"Bajo"</formula>
    </cfRule>
  </conditionalFormatting>
  <conditionalFormatting sqref="L21">
    <cfRule type="cellIs" dxfId="31" priority="24" operator="equal">
      <formula>"Muy Alta"</formula>
    </cfRule>
    <cfRule type="cellIs" dxfId="30" priority="25" operator="equal">
      <formula>"Alta"</formula>
    </cfRule>
    <cfRule type="cellIs" dxfId="29" priority="26" operator="equal">
      <formula>"Media"</formula>
    </cfRule>
    <cfRule type="cellIs" dxfId="28" priority="27" operator="equal">
      <formula>"Baja"</formula>
    </cfRule>
    <cfRule type="cellIs" dxfId="27" priority="28" operator="equal">
      <formula>"Muy Baja"</formula>
    </cfRule>
  </conditionalFormatting>
  <conditionalFormatting sqref="P21">
    <cfRule type="cellIs" dxfId="26" priority="19" operator="equal">
      <formula>"Catastrófico"</formula>
    </cfRule>
    <cfRule type="cellIs" dxfId="25" priority="20" operator="equal">
      <formula>"Mayor"</formula>
    </cfRule>
    <cfRule type="cellIs" dxfId="24" priority="21" operator="equal">
      <formula>"Moderado"</formula>
    </cfRule>
    <cfRule type="cellIs" dxfId="23" priority="22" operator="equal">
      <formula>"Menor"</formula>
    </cfRule>
    <cfRule type="cellIs" dxfId="22" priority="23" operator="equal">
      <formula>"Leve"</formula>
    </cfRule>
  </conditionalFormatting>
  <conditionalFormatting sqref="R21">
    <cfRule type="cellIs" dxfId="21" priority="15" operator="equal">
      <formula>"Extremo"</formula>
    </cfRule>
    <cfRule type="cellIs" dxfId="20" priority="16" operator="equal">
      <formula>"Alto"</formula>
    </cfRule>
    <cfRule type="cellIs" dxfId="19" priority="17" operator="equal">
      <formula>"Moderado"</formula>
    </cfRule>
    <cfRule type="cellIs" dxfId="18" priority="18" operator="equal">
      <formula>"Bajo"</formula>
    </cfRule>
  </conditionalFormatting>
  <conditionalFormatting sqref="AH21">
    <cfRule type="cellIs" dxfId="17" priority="11" operator="equal">
      <formula>"Extremo"</formula>
    </cfRule>
    <cfRule type="cellIs" dxfId="16" priority="12" operator="equal">
      <formula>"Alto"</formula>
    </cfRule>
    <cfRule type="cellIs" dxfId="15" priority="13" operator="equal">
      <formula>"Moderado"</formula>
    </cfRule>
    <cfRule type="cellIs" dxfId="14" priority="14" operator="equal">
      <formula>"Bajo"</formula>
    </cfRule>
  </conditionalFormatting>
  <conditionalFormatting sqref="AF21">
    <cfRule type="cellIs" dxfId="13" priority="1" operator="equal">
      <formula>"Catastrófico"</formula>
    </cfRule>
    <cfRule type="cellIs" dxfId="12" priority="2" operator="equal">
      <formula>"Mayor"</formula>
    </cfRule>
    <cfRule type="cellIs" dxfId="11" priority="3" operator="equal">
      <formula>"Moderado"</formula>
    </cfRule>
    <cfRule type="cellIs" dxfId="10" priority="4" operator="equal">
      <formula>"Menor"</formula>
    </cfRule>
    <cfRule type="cellIs" dxfId="9" priority="5" operator="equal">
      <formula>"Leve"</formula>
    </cfRule>
  </conditionalFormatting>
  <conditionalFormatting sqref="AD21">
    <cfRule type="cellIs" dxfId="8" priority="6" operator="equal">
      <formula>"Muy Alta"</formula>
    </cfRule>
    <cfRule type="cellIs" dxfId="7" priority="7" operator="equal">
      <formula>"Alta"</formula>
    </cfRule>
    <cfRule type="cellIs" dxfId="6" priority="8" operator="equal">
      <formula>"Media"</formula>
    </cfRule>
    <cfRule type="cellIs" dxfId="5" priority="9" operator="equal">
      <formula>"Baja"</formula>
    </cfRule>
    <cfRule type="cellIs" dxfId="4" priority="10" operator="equal">
      <formula>"Muy Baja"</formula>
    </cfRule>
  </conditionalFormatting>
  <dataValidations count="6">
    <dataValidation type="list" allowBlank="1" showInputMessage="1" showErrorMessage="1" sqref="G24">
      <formula1>$G$181:$G$190</formula1>
    </dataValidation>
    <dataValidation type="list" allowBlank="1" showInputMessage="1" showErrorMessage="1" sqref="G26 AE26:AF26">
      <formula1>#REF!</formula1>
    </dataValidation>
    <dataValidation type="list" allowBlank="1" showInputMessage="1" showErrorMessage="1" sqref="V26">
      <formula1>$N$181:$N$182</formula1>
    </dataValidation>
    <dataValidation type="list" allowBlank="1" showInputMessage="1" showErrorMessage="1" sqref="K26">
      <formula1>$K$181:$K$185</formula1>
    </dataValidation>
    <dataValidation type="list" allowBlank="1" showInputMessage="1" showErrorMessage="1" sqref="H26:J26">
      <formula1>$H$181:$H$185</formula1>
    </dataValidation>
    <dataValidation type="list" allowBlank="1" showInputMessage="1" showErrorMessage="1" sqref="AP26 AN26 AL26 W26 Y26:AD26">
      <formula1>$AL$181:$AL$188</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2">
        <x14:dataValidation type="list" allowBlank="1" showInputMessage="1" showErrorMessage="1">
          <x14:formula1>
            <xm:f>Listas!$A$2:$A$9</xm:f>
          </x14:formula1>
          <xm:sqref>B12 B16 B21 B19</xm:sqref>
        </x14:dataValidation>
        <x14:dataValidation type="list" allowBlank="1" showInputMessage="1" showErrorMessage="1">
          <x14:formula1>
            <xm:f>Listas!$B$2:$B$7</xm:f>
          </x14:formula1>
          <xm:sqref>C12 C16 C21 C19</xm:sqref>
        </x14:dataValidation>
        <x14:dataValidation type="list" allowBlank="1" showInputMessage="1" showErrorMessage="1">
          <x14:formula1>
            <xm:f>Listas!$C$2:$C$6</xm:f>
          </x14:formula1>
          <xm:sqref>I12 I16 I21 I19</xm:sqref>
        </x14:dataValidation>
        <x14:dataValidation type="list" allowBlank="1" showInputMessage="1" showErrorMessage="1">
          <x14:formula1>
            <xm:f>Listas!$D$2:$D$5</xm:f>
          </x14:formula1>
          <xm:sqref>J12 J16 J21 J19</xm:sqref>
        </x14:dataValidation>
        <x14:dataValidation type="custom" allowBlank="1" showInputMessage="1" showErrorMessage="1" error="Recuerde que las acciones se generan bajo la medida de mitigar el riesgo">
          <x14:formula1>
            <xm:f>IF(OR(AL20='Opciones Tratamiento'!$B$2,AL20='Opciones Tratamiento'!$B$3,AL20='Opciones Tratamiento'!$B$4),ISBLANK(AL20),ISTEXT(AL20))</xm:f>
          </x14:formula1>
          <xm:sqref>AQ21</xm:sqref>
        </x14:dataValidation>
        <x14:dataValidation type="list" allowBlank="1" showInputMessage="1" showErrorMessage="1">
          <x14:formula1>
            <xm:f>'Tabla Impacto'!$F$210:$F$221</xm:f>
          </x14:formula1>
          <xm:sqref>N12:N15</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AQ12:AQ19 AN12:AN21 AT12:AT21</xm:sqref>
        </x14:dataValidation>
        <x14:dataValidation type="list" allowBlank="1" showInputMessage="1" showErrorMessage="1">
          <x14:formula1>
            <xm:f>'C:\Users\plandeaccion\OneDrive - Escuela Tecnologica Instituto Tecnico Central\A. Vigencia 2022\PAAC 2022\2º LÌNEA DE DEFENCSA\[GESTIÓN DE RECURSOS FÍSICOS.xlsx]Tabla Impacto'!#REF!</xm:f>
          </x14:formula1>
          <xm:sqref>N19 N21:O21</xm:sqref>
        </x14:dataValidation>
        <x14:dataValidation type="list" allowBlank="1" showInputMessage="1" showErrorMessage="1">
          <x14:formula1>
            <xm:f>'C:\Users\ANDRES\Downloads\[Matriz de riesgos_RECURSOS FÍSICOS 2022 (1).xlsx]Tabla Impacto'!#REF!</xm:f>
          </x14:formula1>
          <xm:sqref>N16</xm:sqref>
        </x14:dataValidation>
        <x14:dataValidation type="list" allowBlank="1" showInputMessage="1" showErrorMessage="1">
          <x14:formula1>
            <xm:f>'Opciones Tratamiento'!$B$9:$B$10</xm:f>
          </x14:formula1>
          <xm:sqref>AU12:AU21 AR12:AR21 AO12:AO21</xm:sqref>
        </x14:dataValidation>
        <x14:dataValidation type="list" allowBlank="1" showInputMessage="1" showErrorMessage="1">
          <x14:formula1>
            <xm:f>'Tabla Valoración controles'!$D$4:$D$6</xm:f>
          </x14:formula1>
          <xm:sqref>W12:W21</xm:sqref>
        </x14:dataValidation>
        <x14:dataValidation type="list" allowBlank="1" showInputMessage="1" showErrorMessage="1">
          <x14:formula1>
            <xm:f>'Tabla Valoración controles'!$D$7:$D$8</xm:f>
          </x14:formula1>
          <xm:sqref>X12:X21</xm:sqref>
        </x14:dataValidation>
        <x14:dataValidation type="list" allowBlank="1" showInputMessage="1" showErrorMessage="1">
          <x14:formula1>
            <xm:f>'Tabla Valoración controles'!$D$9:$D$10</xm:f>
          </x14:formula1>
          <xm:sqref>Z12:Z21</xm:sqref>
        </x14:dataValidation>
        <x14:dataValidation type="list" allowBlank="1" showInputMessage="1" showErrorMessage="1">
          <x14:formula1>
            <xm:f>'Tabla Valoración controles'!$D$11:$D$12</xm:f>
          </x14:formula1>
          <xm:sqref>AA12:AA21</xm:sqref>
        </x14:dataValidation>
        <x14:dataValidation type="list" allowBlank="1" showInputMessage="1" showErrorMessage="1">
          <x14:formula1>
            <xm:f>'Tabla Valoración controles'!$D$13:$D$14</xm:f>
          </x14:formula1>
          <xm:sqref>AB12:AB21</xm:sqref>
        </x14:dataValidation>
        <x14:dataValidation type="list" allowBlank="1" showInputMessage="1" showErrorMessage="1">
          <x14:formula1>
            <xm:f>'Opciones Tratamiento'!$B$13:$B$19</xm:f>
          </x14:formula1>
          <xm:sqref>H12:H21</xm:sqref>
        </x14:dataValidation>
        <x14:dataValidation type="list" allowBlank="1" showInputMessage="1" showErrorMessage="1">
          <x14:formula1>
            <xm:f>'Opciones Tratamiento'!$E$2:$E$4</xm:f>
          </x14:formula1>
          <xm:sqref>D12:D21</xm:sqref>
        </x14:dataValidation>
        <x14:dataValidation type="list" allowBlank="1" showInputMessage="1" showErrorMessage="1">
          <x14:formula1>
            <xm:f>'Opciones Tratamiento'!$B$2:$B$5</xm:f>
          </x14:formula1>
          <xm:sqref>AI12:AI21</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AJ12:AJ21</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AK12:AK21</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AL12:AL21</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AM12:AM21 AP12:AP21 AS12:AS21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278" t="s">
        <v>158</v>
      </c>
      <c r="C2" s="278"/>
      <c r="D2" s="278"/>
      <c r="E2" s="278"/>
      <c r="F2" s="278"/>
      <c r="G2" s="278"/>
      <c r="H2" s="278"/>
      <c r="I2" s="278"/>
      <c r="J2" s="315" t="s">
        <v>2</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278"/>
      <c r="C3" s="278"/>
      <c r="D3" s="278"/>
      <c r="E3" s="278"/>
      <c r="F3" s="278"/>
      <c r="G3" s="278"/>
      <c r="H3" s="278"/>
      <c r="I3" s="278"/>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278"/>
      <c r="C4" s="278"/>
      <c r="D4" s="278"/>
      <c r="E4" s="278"/>
      <c r="F4" s="278"/>
      <c r="G4" s="278"/>
      <c r="H4" s="278"/>
      <c r="I4" s="278"/>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326" t="s">
        <v>4</v>
      </c>
      <c r="C6" s="326"/>
      <c r="D6" s="327"/>
      <c r="E6" s="316" t="s">
        <v>115</v>
      </c>
      <c r="F6" s="317"/>
      <c r="G6" s="317"/>
      <c r="H6" s="317"/>
      <c r="I6" s="318"/>
      <c r="J6" s="312" t="e">
        <f>IF(AND('Mapa final'!#REF!="Muy Alta",'Mapa final'!#REF!="Leve"),CONCATENATE("R",'Mapa final'!#REF!),"")</f>
        <v>#REF!</v>
      </c>
      <c r="K6" s="313"/>
      <c r="L6" s="313" t="str">
        <f>IF(AND('Mapa final'!$L$12="Muy Alta",'Mapa final'!$P$12="Leve"),CONCATENATE("R",'Mapa final'!$A$12),"")</f>
        <v/>
      </c>
      <c r="M6" s="313"/>
      <c r="N6" s="313" t="e">
        <f>IF(AND('Mapa final'!#REF!="Muy Alta",'Mapa final'!#REF!="Leve"),CONCATENATE("R",'Mapa final'!#REF!),"")</f>
        <v>#REF!</v>
      </c>
      <c r="O6" s="314"/>
      <c r="P6" s="312" t="e">
        <f>IF(AND('Mapa final'!#REF!="Muy Alta",'Mapa final'!#REF!="Menor"),CONCATENATE("R",'Mapa final'!#REF!),"")</f>
        <v>#REF!</v>
      </c>
      <c r="Q6" s="313"/>
      <c r="R6" s="313" t="str">
        <f>IF(AND('Mapa final'!$L$12="Muy Alta",'Mapa final'!$P$12="Menor"),CONCATENATE("R",'Mapa final'!$A$12),"")</f>
        <v/>
      </c>
      <c r="S6" s="313"/>
      <c r="T6" s="313" t="e">
        <f>IF(AND('Mapa final'!#REF!="Muy Alta",'Mapa final'!#REF!="Menor"),CONCATENATE("R",'Mapa final'!#REF!),"")</f>
        <v>#REF!</v>
      </c>
      <c r="U6" s="314"/>
      <c r="V6" s="312" t="e">
        <f>IF(AND('Mapa final'!#REF!="Muy Alta",'Mapa final'!#REF!="Moderado"),CONCATENATE("R",'Mapa final'!#REF!),"")</f>
        <v>#REF!</v>
      </c>
      <c r="W6" s="313"/>
      <c r="X6" s="313" t="str">
        <f>IF(AND('Mapa final'!$L$12="Muy Alta",'Mapa final'!$P$12="Moderado"),CONCATENATE("R",'Mapa final'!$A$12),"")</f>
        <v/>
      </c>
      <c r="Y6" s="313"/>
      <c r="Z6" s="313" t="e">
        <f>IF(AND('Mapa final'!#REF!="Muy Alta",'Mapa final'!#REF!="Moderado"),CONCATENATE("R",'Mapa final'!#REF!),"")</f>
        <v>#REF!</v>
      </c>
      <c r="AA6" s="314"/>
      <c r="AB6" s="312" t="e">
        <f>IF(AND('Mapa final'!#REF!="Muy Alta",'Mapa final'!#REF!="Mayor"),CONCATENATE("R",'Mapa final'!#REF!),"")</f>
        <v>#REF!</v>
      </c>
      <c r="AC6" s="313"/>
      <c r="AD6" s="313" t="str">
        <f>IF(AND('Mapa final'!$L$12="Muy Alta",'Mapa final'!$P$12="Mayor"),CONCATENATE("R",'Mapa final'!$A$12),"")</f>
        <v/>
      </c>
      <c r="AE6" s="313"/>
      <c r="AF6" s="313" t="e">
        <f>IF(AND('Mapa final'!#REF!="Muy Alta",'Mapa final'!#REF!="Mayor"),CONCATENATE("R",'Mapa final'!#REF!),"")</f>
        <v>#REF!</v>
      </c>
      <c r="AG6" s="314"/>
      <c r="AH6" s="303" t="e">
        <f>IF(AND('Mapa final'!#REF!="Muy Alta",'Mapa final'!#REF!="Catastrófico"),CONCATENATE("R",'Mapa final'!#REF!),"")</f>
        <v>#REF!</v>
      </c>
      <c r="AI6" s="304"/>
      <c r="AJ6" s="304" t="str">
        <f>IF(AND('Mapa final'!$L$12="Muy Alta",'Mapa final'!$P$12="Catastrófico"),CONCATENATE("R",'Mapa final'!$A$12),"")</f>
        <v/>
      </c>
      <c r="AK6" s="304"/>
      <c r="AL6" s="304" t="e">
        <f>IF(AND('Mapa final'!#REF!="Muy Alta",'Mapa final'!#REF!="Catastrófico"),CONCATENATE("R",'Mapa final'!#REF!),"")</f>
        <v>#REF!</v>
      </c>
      <c r="AM6" s="305"/>
      <c r="AO6" s="328" t="s">
        <v>78</v>
      </c>
      <c r="AP6" s="329"/>
      <c r="AQ6" s="329"/>
      <c r="AR6" s="329"/>
      <c r="AS6" s="329"/>
      <c r="AT6" s="330"/>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326"/>
      <c r="C7" s="326"/>
      <c r="D7" s="327"/>
      <c r="E7" s="319"/>
      <c r="F7" s="320"/>
      <c r="G7" s="320"/>
      <c r="H7" s="320"/>
      <c r="I7" s="321"/>
      <c r="J7" s="306"/>
      <c r="K7" s="307"/>
      <c r="L7" s="307"/>
      <c r="M7" s="307"/>
      <c r="N7" s="307"/>
      <c r="O7" s="308"/>
      <c r="P7" s="306"/>
      <c r="Q7" s="307"/>
      <c r="R7" s="307"/>
      <c r="S7" s="307"/>
      <c r="T7" s="307"/>
      <c r="U7" s="308"/>
      <c r="V7" s="306"/>
      <c r="W7" s="307"/>
      <c r="X7" s="307"/>
      <c r="Y7" s="307"/>
      <c r="Z7" s="307"/>
      <c r="AA7" s="308"/>
      <c r="AB7" s="306"/>
      <c r="AC7" s="307"/>
      <c r="AD7" s="307"/>
      <c r="AE7" s="307"/>
      <c r="AF7" s="307"/>
      <c r="AG7" s="308"/>
      <c r="AH7" s="297"/>
      <c r="AI7" s="298"/>
      <c r="AJ7" s="298"/>
      <c r="AK7" s="298"/>
      <c r="AL7" s="298"/>
      <c r="AM7" s="299"/>
      <c r="AN7" s="75"/>
      <c r="AO7" s="331"/>
      <c r="AP7" s="332"/>
      <c r="AQ7" s="332"/>
      <c r="AR7" s="332"/>
      <c r="AS7" s="332"/>
      <c r="AT7" s="333"/>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326"/>
      <c r="C8" s="326"/>
      <c r="D8" s="327"/>
      <c r="E8" s="319"/>
      <c r="F8" s="320"/>
      <c r="G8" s="320"/>
      <c r="H8" s="320"/>
      <c r="I8" s="321"/>
      <c r="J8" s="306" t="e">
        <f>IF(AND('Mapa final'!#REF!="Muy Alta",'Mapa final'!#REF!="Leve"),CONCATENATE("R",'Mapa final'!#REF!),"")</f>
        <v>#REF!</v>
      </c>
      <c r="K8" s="307"/>
      <c r="L8" s="307" t="e">
        <f>IF(AND('Mapa final'!#REF!="Muy Alta",'Mapa final'!#REF!="Leve"),CONCATENATE("R",'Mapa final'!#REF!),"")</f>
        <v>#REF!</v>
      </c>
      <c r="M8" s="307"/>
      <c r="N8" s="307" t="e">
        <f>IF(AND('Mapa final'!#REF!="Muy Alta",'Mapa final'!#REF!="Leve"),CONCATENATE("R",'Mapa final'!#REF!),"")</f>
        <v>#REF!</v>
      </c>
      <c r="O8" s="308"/>
      <c r="P8" s="306" t="e">
        <f>IF(AND('Mapa final'!#REF!="Muy Alta",'Mapa final'!#REF!="Menor"),CONCATENATE("R",'Mapa final'!#REF!),"")</f>
        <v>#REF!</v>
      </c>
      <c r="Q8" s="307"/>
      <c r="R8" s="307" t="e">
        <f>IF(AND('Mapa final'!#REF!="Muy Alta",'Mapa final'!#REF!="Menor"),CONCATENATE("R",'Mapa final'!#REF!),"")</f>
        <v>#REF!</v>
      </c>
      <c r="S8" s="307"/>
      <c r="T8" s="307" t="e">
        <f>IF(AND('Mapa final'!#REF!="Muy Alta",'Mapa final'!#REF!="Menor"),CONCATENATE("R",'Mapa final'!#REF!),"")</f>
        <v>#REF!</v>
      </c>
      <c r="U8" s="308"/>
      <c r="V8" s="306" t="e">
        <f>IF(AND('Mapa final'!#REF!="Muy Alta",'Mapa final'!#REF!="Moderado"),CONCATENATE("R",'Mapa final'!#REF!),"")</f>
        <v>#REF!</v>
      </c>
      <c r="W8" s="307"/>
      <c r="X8" s="307" t="e">
        <f>IF(AND('Mapa final'!#REF!="Muy Alta",'Mapa final'!#REF!="Moderado"),CONCATENATE("R",'Mapa final'!#REF!),"")</f>
        <v>#REF!</v>
      </c>
      <c r="Y8" s="307"/>
      <c r="Z8" s="307" t="e">
        <f>IF(AND('Mapa final'!#REF!="Muy Alta",'Mapa final'!#REF!="Moderado"),CONCATENATE("R",'Mapa final'!#REF!),"")</f>
        <v>#REF!</v>
      </c>
      <c r="AA8" s="308"/>
      <c r="AB8" s="306" t="e">
        <f>IF(AND('Mapa final'!#REF!="Muy Alta",'Mapa final'!#REF!="Mayor"),CONCATENATE("R",'Mapa final'!#REF!),"")</f>
        <v>#REF!</v>
      </c>
      <c r="AC8" s="307"/>
      <c r="AD8" s="307" t="e">
        <f>IF(AND('Mapa final'!#REF!="Muy Alta",'Mapa final'!#REF!="Mayor"),CONCATENATE("R",'Mapa final'!#REF!),"")</f>
        <v>#REF!</v>
      </c>
      <c r="AE8" s="307"/>
      <c r="AF8" s="307" t="e">
        <f>IF(AND('Mapa final'!#REF!="Muy Alta",'Mapa final'!#REF!="Mayor"),CONCATENATE("R",'Mapa final'!#REF!),"")</f>
        <v>#REF!</v>
      </c>
      <c r="AG8" s="308"/>
      <c r="AH8" s="297" t="e">
        <f>IF(AND('Mapa final'!#REF!="Muy Alta",'Mapa final'!#REF!="Catastrófico"),CONCATENATE("R",'Mapa final'!#REF!),"")</f>
        <v>#REF!</v>
      </c>
      <c r="AI8" s="298"/>
      <c r="AJ8" s="298" t="e">
        <f>IF(AND('Mapa final'!#REF!="Muy Alta",'Mapa final'!#REF!="Catastrófico"),CONCATENATE("R",'Mapa final'!#REF!),"")</f>
        <v>#REF!</v>
      </c>
      <c r="AK8" s="298"/>
      <c r="AL8" s="298" t="e">
        <f>IF(AND('Mapa final'!#REF!="Muy Alta",'Mapa final'!#REF!="Catastrófico"),CONCATENATE("R",'Mapa final'!#REF!),"")</f>
        <v>#REF!</v>
      </c>
      <c r="AM8" s="299"/>
      <c r="AN8" s="75"/>
      <c r="AO8" s="331"/>
      <c r="AP8" s="332"/>
      <c r="AQ8" s="332"/>
      <c r="AR8" s="332"/>
      <c r="AS8" s="332"/>
      <c r="AT8" s="333"/>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326"/>
      <c r="C9" s="326"/>
      <c r="D9" s="327"/>
      <c r="E9" s="319"/>
      <c r="F9" s="320"/>
      <c r="G9" s="320"/>
      <c r="H9" s="320"/>
      <c r="I9" s="321"/>
      <c r="J9" s="306"/>
      <c r="K9" s="307"/>
      <c r="L9" s="307"/>
      <c r="M9" s="307"/>
      <c r="N9" s="307"/>
      <c r="O9" s="308"/>
      <c r="P9" s="306"/>
      <c r="Q9" s="307"/>
      <c r="R9" s="307"/>
      <c r="S9" s="307"/>
      <c r="T9" s="307"/>
      <c r="U9" s="308"/>
      <c r="V9" s="306"/>
      <c r="W9" s="307"/>
      <c r="X9" s="307"/>
      <c r="Y9" s="307"/>
      <c r="Z9" s="307"/>
      <c r="AA9" s="308"/>
      <c r="AB9" s="306"/>
      <c r="AC9" s="307"/>
      <c r="AD9" s="307"/>
      <c r="AE9" s="307"/>
      <c r="AF9" s="307"/>
      <c r="AG9" s="308"/>
      <c r="AH9" s="297"/>
      <c r="AI9" s="298"/>
      <c r="AJ9" s="298"/>
      <c r="AK9" s="298"/>
      <c r="AL9" s="298"/>
      <c r="AM9" s="299"/>
      <c r="AN9" s="75"/>
      <c r="AO9" s="331"/>
      <c r="AP9" s="332"/>
      <c r="AQ9" s="332"/>
      <c r="AR9" s="332"/>
      <c r="AS9" s="332"/>
      <c r="AT9" s="333"/>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326"/>
      <c r="C10" s="326"/>
      <c r="D10" s="327"/>
      <c r="E10" s="319"/>
      <c r="F10" s="320"/>
      <c r="G10" s="320"/>
      <c r="H10" s="320"/>
      <c r="I10" s="321"/>
      <c r="J10" s="306" t="e">
        <f>IF(AND('Mapa final'!#REF!="Muy Alta",'Mapa final'!#REF!="Leve"),CONCATENATE("R",'Mapa final'!#REF!),"")</f>
        <v>#REF!</v>
      </c>
      <c r="K10" s="307"/>
      <c r="L10" s="307" t="e">
        <f>IF(AND('Mapa final'!#REF!="Muy Alta",'Mapa final'!#REF!="Leve"),CONCATENATE("R",'Mapa final'!#REF!),"")</f>
        <v>#REF!</v>
      </c>
      <c r="M10" s="307"/>
      <c r="N10" s="307" t="e">
        <f>IF(AND('Mapa final'!#REF!="Muy Alta",'Mapa final'!#REF!="Leve"),CONCATENATE("R",'Mapa final'!#REF!),"")</f>
        <v>#REF!</v>
      </c>
      <c r="O10" s="308"/>
      <c r="P10" s="306" t="e">
        <f>IF(AND('Mapa final'!#REF!="Muy Alta",'Mapa final'!#REF!="Menor"),CONCATENATE("R",'Mapa final'!#REF!),"")</f>
        <v>#REF!</v>
      </c>
      <c r="Q10" s="307"/>
      <c r="R10" s="307" t="e">
        <f>IF(AND('Mapa final'!#REF!="Muy Alta",'Mapa final'!#REF!="Menor"),CONCATENATE("R",'Mapa final'!#REF!),"")</f>
        <v>#REF!</v>
      </c>
      <c r="S10" s="307"/>
      <c r="T10" s="307" t="e">
        <f>IF(AND('Mapa final'!#REF!="Muy Alta",'Mapa final'!#REF!="Menor"),CONCATENATE("R",'Mapa final'!#REF!),"")</f>
        <v>#REF!</v>
      </c>
      <c r="U10" s="308"/>
      <c r="V10" s="306" t="e">
        <f>IF(AND('Mapa final'!#REF!="Muy Alta",'Mapa final'!#REF!="Moderado"),CONCATENATE("R",'Mapa final'!#REF!),"")</f>
        <v>#REF!</v>
      </c>
      <c r="W10" s="307"/>
      <c r="X10" s="307" t="e">
        <f>IF(AND('Mapa final'!#REF!="Muy Alta",'Mapa final'!#REF!="Moderado"),CONCATENATE("R",'Mapa final'!#REF!),"")</f>
        <v>#REF!</v>
      </c>
      <c r="Y10" s="307"/>
      <c r="Z10" s="307" t="e">
        <f>IF(AND('Mapa final'!#REF!="Muy Alta",'Mapa final'!#REF!="Moderado"),CONCATENATE("R",'Mapa final'!#REF!),"")</f>
        <v>#REF!</v>
      </c>
      <c r="AA10" s="308"/>
      <c r="AB10" s="306" t="e">
        <f>IF(AND('Mapa final'!#REF!="Muy Alta",'Mapa final'!#REF!="Mayor"),CONCATENATE("R",'Mapa final'!#REF!),"")</f>
        <v>#REF!</v>
      </c>
      <c r="AC10" s="307"/>
      <c r="AD10" s="307" t="e">
        <f>IF(AND('Mapa final'!#REF!="Muy Alta",'Mapa final'!#REF!="Mayor"),CONCATENATE("R",'Mapa final'!#REF!),"")</f>
        <v>#REF!</v>
      </c>
      <c r="AE10" s="307"/>
      <c r="AF10" s="307" t="e">
        <f>IF(AND('Mapa final'!#REF!="Muy Alta",'Mapa final'!#REF!="Mayor"),CONCATENATE("R",'Mapa final'!#REF!),"")</f>
        <v>#REF!</v>
      </c>
      <c r="AG10" s="308"/>
      <c r="AH10" s="297" t="e">
        <f>IF(AND('Mapa final'!#REF!="Muy Alta",'Mapa final'!#REF!="Catastrófico"),CONCATENATE("R",'Mapa final'!#REF!),"")</f>
        <v>#REF!</v>
      </c>
      <c r="AI10" s="298"/>
      <c r="AJ10" s="298" t="e">
        <f>IF(AND('Mapa final'!#REF!="Muy Alta",'Mapa final'!#REF!="Catastrófico"),CONCATENATE("R",'Mapa final'!#REF!),"")</f>
        <v>#REF!</v>
      </c>
      <c r="AK10" s="298"/>
      <c r="AL10" s="298" t="e">
        <f>IF(AND('Mapa final'!#REF!="Muy Alta",'Mapa final'!#REF!="Catastrófico"),CONCATENATE("R",'Mapa final'!#REF!),"")</f>
        <v>#REF!</v>
      </c>
      <c r="AM10" s="299"/>
      <c r="AN10" s="75"/>
      <c r="AO10" s="331"/>
      <c r="AP10" s="332"/>
      <c r="AQ10" s="332"/>
      <c r="AR10" s="332"/>
      <c r="AS10" s="332"/>
      <c r="AT10" s="333"/>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326"/>
      <c r="C11" s="326"/>
      <c r="D11" s="327"/>
      <c r="E11" s="319"/>
      <c r="F11" s="320"/>
      <c r="G11" s="320"/>
      <c r="H11" s="320"/>
      <c r="I11" s="321"/>
      <c r="J11" s="306"/>
      <c r="K11" s="307"/>
      <c r="L11" s="307"/>
      <c r="M11" s="307"/>
      <c r="N11" s="307"/>
      <c r="O11" s="308"/>
      <c r="P11" s="306"/>
      <c r="Q11" s="307"/>
      <c r="R11" s="307"/>
      <c r="S11" s="307"/>
      <c r="T11" s="307"/>
      <c r="U11" s="308"/>
      <c r="V11" s="306"/>
      <c r="W11" s="307"/>
      <c r="X11" s="307"/>
      <c r="Y11" s="307"/>
      <c r="Z11" s="307"/>
      <c r="AA11" s="308"/>
      <c r="AB11" s="306"/>
      <c r="AC11" s="307"/>
      <c r="AD11" s="307"/>
      <c r="AE11" s="307"/>
      <c r="AF11" s="307"/>
      <c r="AG11" s="308"/>
      <c r="AH11" s="297"/>
      <c r="AI11" s="298"/>
      <c r="AJ11" s="298"/>
      <c r="AK11" s="298"/>
      <c r="AL11" s="298"/>
      <c r="AM11" s="299"/>
      <c r="AN11" s="75"/>
      <c r="AO11" s="331"/>
      <c r="AP11" s="332"/>
      <c r="AQ11" s="332"/>
      <c r="AR11" s="332"/>
      <c r="AS11" s="332"/>
      <c r="AT11" s="333"/>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326"/>
      <c r="C12" s="326"/>
      <c r="D12" s="327"/>
      <c r="E12" s="319"/>
      <c r="F12" s="320"/>
      <c r="G12" s="320"/>
      <c r="H12" s="320"/>
      <c r="I12" s="321"/>
      <c r="J12" s="306" t="e">
        <f>IF(AND('Mapa final'!#REF!="Muy Alta",'Mapa final'!#REF!="Leve"),CONCATENATE("R",'Mapa final'!#REF!),"")</f>
        <v>#REF!</v>
      </c>
      <c r="K12" s="307"/>
      <c r="L12" s="307" t="str">
        <f>IF(AND('Mapa final'!$L$22="Muy Alta",'Mapa final'!$P$22="Leve"),CONCATENATE("R",'Mapa final'!$A$22),"")</f>
        <v/>
      </c>
      <c r="M12" s="307"/>
      <c r="N12" s="307" t="str">
        <f>IF(AND('Mapa final'!$L$24="Muy Alta",'Mapa final'!$P$24="Leve"),CONCATENATE("R",'Mapa final'!$A$24),"")</f>
        <v/>
      </c>
      <c r="O12" s="308"/>
      <c r="P12" s="306" t="e">
        <f>IF(AND('Mapa final'!#REF!="Muy Alta",'Mapa final'!#REF!="Menor"),CONCATENATE("R",'Mapa final'!#REF!),"")</f>
        <v>#REF!</v>
      </c>
      <c r="Q12" s="307"/>
      <c r="R12" s="307" t="str">
        <f>IF(AND('Mapa final'!$L$22="Muy Alta",'Mapa final'!$P$22="Menor"),CONCATENATE("R",'Mapa final'!$A$22),"")</f>
        <v/>
      </c>
      <c r="S12" s="307"/>
      <c r="T12" s="307" t="str">
        <f>IF(AND('Mapa final'!$L$24="Muy Alta",'Mapa final'!$P$24="Menor"),CONCATENATE("R",'Mapa final'!$A$24),"")</f>
        <v/>
      </c>
      <c r="U12" s="308"/>
      <c r="V12" s="306" t="e">
        <f>IF(AND('Mapa final'!#REF!="Muy Alta",'Mapa final'!#REF!="Moderado"),CONCATENATE("R",'Mapa final'!#REF!),"")</f>
        <v>#REF!</v>
      </c>
      <c r="W12" s="307"/>
      <c r="X12" s="307" t="str">
        <f>IF(AND('Mapa final'!$L$22="Muy Alta",'Mapa final'!$P$22="Moderado"),CONCATENATE("R",'Mapa final'!$A$22),"")</f>
        <v/>
      </c>
      <c r="Y12" s="307"/>
      <c r="Z12" s="307" t="str">
        <f>IF(AND('Mapa final'!$L$24="Muy Alta",'Mapa final'!$P$24="Moderado"),CONCATENATE("R",'Mapa final'!$A$24),"")</f>
        <v/>
      </c>
      <c r="AA12" s="308"/>
      <c r="AB12" s="306" t="e">
        <f>IF(AND('Mapa final'!#REF!="Muy Alta",'Mapa final'!#REF!="Mayor"),CONCATENATE("R",'Mapa final'!#REF!),"")</f>
        <v>#REF!</v>
      </c>
      <c r="AC12" s="307"/>
      <c r="AD12" s="307" t="str">
        <f>IF(AND('Mapa final'!$L$22="Muy Alta",'Mapa final'!$P$22="Mayor"),CONCATENATE("R",'Mapa final'!$A$22),"")</f>
        <v/>
      </c>
      <c r="AE12" s="307"/>
      <c r="AF12" s="307" t="str">
        <f>IF(AND('Mapa final'!$L$24="Muy Alta",'Mapa final'!$P$24="Mayor"),CONCATENATE("R",'Mapa final'!$A$24),"")</f>
        <v/>
      </c>
      <c r="AG12" s="308"/>
      <c r="AH12" s="297" t="e">
        <f>IF(AND('Mapa final'!#REF!="Muy Alta",'Mapa final'!#REF!="Catastrófico"),CONCATENATE("R",'Mapa final'!#REF!),"")</f>
        <v>#REF!</v>
      </c>
      <c r="AI12" s="298"/>
      <c r="AJ12" s="298" t="str">
        <f>IF(AND('Mapa final'!$L$22="Muy Alta",'Mapa final'!$P$22="Catastrófico"),CONCATENATE("R",'Mapa final'!$A$22),"")</f>
        <v/>
      </c>
      <c r="AK12" s="298"/>
      <c r="AL12" s="298" t="str">
        <f>IF(AND('Mapa final'!$L$24="Muy Alta",'Mapa final'!$P$24="Catastrófico"),CONCATENATE("R",'Mapa final'!$A$24),"")</f>
        <v/>
      </c>
      <c r="AM12" s="299"/>
      <c r="AN12" s="75"/>
      <c r="AO12" s="331"/>
      <c r="AP12" s="332"/>
      <c r="AQ12" s="332"/>
      <c r="AR12" s="332"/>
      <c r="AS12" s="332"/>
      <c r="AT12" s="333"/>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326"/>
      <c r="C13" s="326"/>
      <c r="D13" s="327"/>
      <c r="E13" s="322"/>
      <c r="F13" s="323"/>
      <c r="G13" s="323"/>
      <c r="H13" s="323"/>
      <c r="I13" s="324"/>
      <c r="J13" s="306"/>
      <c r="K13" s="307"/>
      <c r="L13" s="307"/>
      <c r="M13" s="307"/>
      <c r="N13" s="307"/>
      <c r="O13" s="308"/>
      <c r="P13" s="306"/>
      <c r="Q13" s="307"/>
      <c r="R13" s="307"/>
      <c r="S13" s="307"/>
      <c r="T13" s="307"/>
      <c r="U13" s="308"/>
      <c r="V13" s="306"/>
      <c r="W13" s="307"/>
      <c r="X13" s="307"/>
      <c r="Y13" s="307"/>
      <c r="Z13" s="307"/>
      <c r="AA13" s="308"/>
      <c r="AB13" s="306"/>
      <c r="AC13" s="307"/>
      <c r="AD13" s="307"/>
      <c r="AE13" s="307"/>
      <c r="AF13" s="307"/>
      <c r="AG13" s="308"/>
      <c r="AH13" s="300"/>
      <c r="AI13" s="301"/>
      <c r="AJ13" s="301"/>
      <c r="AK13" s="301"/>
      <c r="AL13" s="301"/>
      <c r="AM13" s="302"/>
      <c r="AN13" s="75"/>
      <c r="AO13" s="334"/>
      <c r="AP13" s="335"/>
      <c r="AQ13" s="335"/>
      <c r="AR13" s="335"/>
      <c r="AS13" s="335"/>
      <c r="AT13" s="336"/>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326"/>
      <c r="C14" s="326"/>
      <c r="D14" s="327"/>
      <c r="E14" s="316" t="s">
        <v>114</v>
      </c>
      <c r="F14" s="317"/>
      <c r="G14" s="317"/>
      <c r="H14" s="317"/>
      <c r="I14" s="317"/>
      <c r="J14" s="294" t="e">
        <f>IF(AND('Mapa final'!#REF!="Alta",'Mapa final'!#REF!="Leve"),CONCATENATE("R",'Mapa final'!#REF!),"")</f>
        <v>#REF!</v>
      </c>
      <c r="K14" s="295"/>
      <c r="L14" s="295" t="str">
        <f>IF(AND('Mapa final'!$L$12="Alta",'Mapa final'!$P$12="Leve"),CONCATENATE("R",'Mapa final'!$A$12),"")</f>
        <v/>
      </c>
      <c r="M14" s="295"/>
      <c r="N14" s="295" t="e">
        <f>IF(AND('Mapa final'!#REF!="Alta",'Mapa final'!#REF!="Leve"),CONCATENATE("R",'Mapa final'!#REF!),"")</f>
        <v>#REF!</v>
      </c>
      <c r="O14" s="296"/>
      <c r="P14" s="294" t="e">
        <f>IF(AND('Mapa final'!#REF!="Alta",'Mapa final'!#REF!="Menor"),CONCATENATE("R",'Mapa final'!#REF!),"")</f>
        <v>#REF!</v>
      </c>
      <c r="Q14" s="295"/>
      <c r="R14" s="295" t="str">
        <f>IF(AND('Mapa final'!$L$12="Alta",'Mapa final'!$P$12="Menor"),CONCATENATE("R",'Mapa final'!$A$12),"")</f>
        <v/>
      </c>
      <c r="S14" s="295"/>
      <c r="T14" s="295" t="e">
        <f>IF(AND('Mapa final'!#REF!="Alta",'Mapa final'!#REF!="Menor"),CONCATENATE("R",'Mapa final'!#REF!),"")</f>
        <v>#REF!</v>
      </c>
      <c r="U14" s="296"/>
      <c r="V14" s="312" t="e">
        <f>IF(AND('Mapa final'!#REF!="Alta",'Mapa final'!#REF!="Moderado"),CONCATENATE("R",'Mapa final'!#REF!),"")</f>
        <v>#REF!</v>
      </c>
      <c r="W14" s="313"/>
      <c r="X14" s="313" t="str">
        <f>IF(AND('Mapa final'!$L$12="Alta",'Mapa final'!$P$12="Moderado"),CONCATENATE("R",'Mapa final'!$A$12),"")</f>
        <v/>
      </c>
      <c r="Y14" s="313"/>
      <c r="Z14" s="313" t="e">
        <f>IF(AND('Mapa final'!#REF!="Alta",'Mapa final'!#REF!="Moderado"),CONCATENATE("R",'Mapa final'!#REF!),"")</f>
        <v>#REF!</v>
      </c>
      <c r="AA14" s="314"/>
      <c r="AB14" s="312" t="e">
        <f>IF(AND('Mapa final'!#REF!="Alta",'Mapa final'!#REF!="Mayor"),CONCATENATE("R",'Mapa final'!#REF!),"")</f>
        <v>#REF!</v>
      </c>
      <c r="AC14" s="313"/>
      <c r="AD14" s="313" t="str">
        <f>IF(AND('Mapa final'!$L$12="Alta",'Mapa final'!$P$12="Mayor"),CONCATENATE("R",'Mapa final'!$A$12),"")</f>
        <v/>
      </c>
      <c r="AE14" s="313"/>
      <c r="AF14" s="313" t="e">
        <f>IF(AND('Mapa final'!#REF!="Alta",'Mapa final'!#REF!="Mayor"),CONCATENATE("R",'Mapa final'!#REF!),"")</f>
        <v>#REF!</v>
      </c>
      <c r="AG14" s="314"/>
      <c r="AH14" s="303" t="e">
        <f>IF(AND('Mapa final'!#REF!="Alta",'Mapa final'!#REF!="Catastrófico"),CONCATENATE("R",'Mapa final'!#REF!),"")</f>
        <v>#REF!</v>
      </c>
      <c r="AI14" s="304"/>
      <c r="AJ14" s="304" t="str">
        <f>IF(AND('Mapa final'!$L$12="Alta",'Mapa final'!$P$12="Catastrófico"),CONCATENATE("R",'Mapa final'!$A$12),"")</f>
        <v/>
      </c>
      <c r="AK14" s="304"/>
      <c r="AL14" s="304" t="e">
        <f>IF(AND('Mapa final'!#REF!="Alta",'Mapa final'!#REF!="Catastrófico"),CONCATENATE("R",'Mapa final'!#REF!),"")</f>
        <v>#REF!</v>
      </c>
      <c r="AM14" s="305"/>
      <c r="AN14" s="75"/>
      <c r="AO14" s="337" t="s">
        <v>79</v>
      </c>
      <c r="AP14" s="338"/>
      <c r="AQ14" s="338"/>
      <c r="AR14" s="338"/>
      <c r="AS14" s="338"/>
      <c r="AT14" s="339"/>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326"/>
      <c r="C15" s="326"/>
      <c r="D15" s="327"/>
      <c r="E15" s="319"/>
      <c r="F15" s="320"/>
      <c r="G15" s="320"/>
      <c r="H15" s="320"/>
      <c r="I15" s="320"/>
      <c r="J15" s="288"/>
      <c r="K15" s="289"/>
      <c r="L15" s="289"/>
      <c r="M15" s="289"/>
      <c r="N15" s="289"/>
      <c r="O15" s="290"/>
      <c r="P15" s="288"/>
      <c r="Q15" s="289"/>
      <c r="R15" s="289"/>
      <c r="S15" s="289"/>
      <c r="T15" s="289"/>
      <c r="U15" s="290"/>
      <c r="V15" s="306"/>
      <c r="W15" s="307"/>
      <c r="X15" s="307"/>
      <c r="Y15" s="307"/>
      <c r="Z15" s="307"/>
      <c r="AA15" s="308"/>
      <c r="AB15" s="306"/>
      <c r="AC15" s="307"/>
      <c r="AD15" s="307"/>
      <c r="AE15" s="307"/>
      <c r="AF15" s="307"/>
      <c r="AG15" s="308"/>
      <c r="AH15" s="297"/>
      <c r="AI15" s="298"/>
      <c r="AJ15" s="298"/>
      <c r="AK15" s="298"/>
      <c r="AL15" s="298"/>
      <c r="AM15" s="299"/>
      <c r="AN15" s="75"/>
      <c r="AO15" s="340"/>
      <c r="AP15" s="341"/>
      <c r="AQ15" s="341"/>
      <c r="AR15" s="341"/>
      <c r="AS15" s="341"/>
      <c r="AT15" s="342"/>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326"/>
      <c r="C16" s="326"/>
      <c r="D16" s="327"/>
      <c r="E16" s="319"/>
      <c r="F16" s="320"/>
      <c r="G16" s="320"/>
      <c r="H16" s="320"/>
      <c r="I16" s="320"/>
      <c r="J16" s="288" t="e">
        <f>IF(AND('Mapa final'!#REF!="Alta",'Mapa final'!#REF!="Leve"),CONCATENATE("R",'Mapa final'!#REF!),"")</f>
        <v>#REF!</v>
      </c>
      <c r="K16" s="289"/>
      <c r="L16" s="289" t="e">
        <f>IF(AND('Mapa final'!#REF!="Alta",'Mapa final'!#REF!="Leve"),CONCATENATE("R",'Mapa final'!#REF!),"")</f>
        <v>#REF!</v>
      </c>
      <c r="M16" s="289"/>
      <c r="N16" s="289" t="e">
        <f>IF(AND('Mapa final'!#REF!="Alta",'Mapa final'!#REF!="Leve"),CONCATENATE("R",'Mapa final'!#REF!),"")</f>
        <v>#REF!</v>
      </c>
      <c r="O16" s="290"/>
      <c r="P16" s="288" t="e">
        <f>IF(AND('Mapa final'!#REF!="Alta",'Mapa final'!#REF!="Menor"),CONCATENATE("R",'Mapa final'!#REF!),"")</f>
        <v>#REF!</v>
      </c>
      <c r="Q16" s="289"/>
      <c r="R16" s="289" t="e">
        <f>IF(AND('Mapa final'!#REF!="Alta",'Mapa final'!#REF!="Menor"),CONCATENATE("R",'Mapa final'!#REF!),"")</f>
        <v>#REF!</v>
      </c>
      <c r="S16" s="289"/>
      <c r="T16" s="289" t="e">
        <f>IF(AND('Mapa final'!#REF!="Alta",'Mapa final'!#REF!="Menor"),CONCATENATE("R",'Mapa final'!#REF!),"")</f>
        <v>#REF!</v>
      </c>
      <c r="U16" s="290"/>
      <c r="V16" s="306" t="e">
        <f>IF(AND('Mapa final'!#REF!="Alta",'Mapa final'!#REF!="Moderado"),CONCATENATE("R",'Mapa final'!#REF!),"")</f>
        <v>#REF!</v>
      </c>
      <c r="W16" s="307"/>
      <c r="X16" s="307" t="e">
        <f>IF(AND('Mapa final'!#REF!="Alta",'Mapa final'!#REF!="Moderado"),CONCATENATE("R",'Mapa final'!#REF!),"")</f>
        <v>#REF!</v>
      </c>
      <c r="Y16" s="307"/>
      <c r="Z16" s="307" t="e">
        <f>IF(AND('Mapa final'!#REF!="Alta",'Mapa final'!#REF!="Moderado"),CONCATENATE("R",'Mapa final'!#REF!),"")</f>
        <v>#REF!</v>
      </c>
      <c r="AA16" s="308"/>
      <c r="AB16" s="306" t="e">
        <f>IF(AND('Mapa final'!#REF!="Alta",'Mapa final'!#REF!="Mayor"),CONCATENATE("R",'Mapa final'!#REF!),"")</f>
        <v>#REF!</v>
      </c>
      <c r="AC16" s="307"/>
      <c r="AD16" s="307" t="e">
        <f>IF(AND('Mapa final'!#REF!="Alta",'Mapa final'!#REF!="Mayor"),CONCATENATE("R",'Mapa final'!#REF!),"")</f>
        <v>#REF!</v>
      </c>
      <c r="AE16" s="307"/>
      <c r="AF16" s="307" t="e">
        <f>IF(AND('Mapa final'!#REF!="Alta",'Mapa final'!#REF!="Mayor"),CONCATENATE("R",'Mapa final'!#REF!),"")</f>
        <v>#REF!</v>
      </c>
      <c r="AG16" s="308"/>
      <c r="AH16" s="297" t="e">
        <f>IF(AND('Mapa final'!#REF!="Alta",'Mapa final'!#REF!="Catastrófico"),CONCATENATE("R",'Mapa final'!#REF!),"")</f>
        <v>#REF!</v>
      </c>
      <c r="AI16" s="298"/>
      <c r="AJ16" s="298" t="e">
        <f>IF(AND('Mapa final'!#REF!="Alta",'Mapa final'!#REF!="Catastrófico"),CONCATENATE("R",'Mapa final'!#REF!),"")</f>
        <v>#REF!</v>
      </c>
      <c r="AK16" s="298"/>
      <c r="AL16" s="298" t="e">
        <f>IF(AND('Mapa final'!#REF!="Alta",'Mapa final'!#REF!="Catastrófico"),CONCATENATE("R",'Mapa final'!#REF!),"")</f>
        <v>#REF!</v>
      </c>
      <c r="AM16" s="299"/>
      <c r="AN16" s="75"/>
      <c r="AO16" s="340"/>
      <c r="AP16" s="341"/>
      <c r="AQ16" s="341"/>
      <c r="AR16" s="341"/>
      <c r="AS16" s="341"/>
      <c r="AT16" s="342"/>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326"/>
      <c r="C17" s="326"/>
      <c r="D17" s="327"/>
      <c r="E17" s="319"/>
      <c r="F17" s="320"/>
      <c r="G17" s="320"/>
      <c r="H17" s="320"/>
      <c r="I17" s="320"/>
      <c r="J17" s="288"/>
      <c r="K17" s="289"/>
      <c r="L17" s="289"/>
      <c r="M17" s="289"/>
      <c r="N17" s="289"/>
      <c r="O17" s="290"/>
      <c r="P17" s="288"/>
      <c r="Q17" s="289"/>
      <c r="R17" s="289"/>
      <c r="S17" s="289"/>
      <c r="T17" s="289"/>
      <c r="U17" s="290"/>
      <c r="V17" s="306"/>
      <c r="W17" s="307"/>
      <c r="X17" s="307"/>
      <c r="Y17" s="307"/>
      <c r="Z17" s="307"/>
      <c r="AA17" s="308"/>
      <c r="AB17" s="306"/>
      <c r="AC17" s="307"/>
      <c r="AD17" s="307"/>
      <c r="AE17" s="307"/>
      <c r="AF17" s="307"/>
      <c r="AG17" s="308"/>
      <c r="AH17" s="297"/>
      <c r="AI17" s="298"/>
      <c r="AJ17" s="298"/>
      <c r="AK17" s="298"/>
      <c r="AL17" s="298"/>
      <c r="AM17" s="299"/>
      <c r="AN17" s="75"/>
      <c r="AO17" s="340"/>
      <c r="AP17" s="341"/>
      <c r="AQ17" s="341"/>
      <c r="AR17" s="341"/>
      <c r="AS17" s="341"/>
      <c r="AT17" s="342"/>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326"/>
      <c r="C18" s="326"/>
      <c r="D18" s="327"/>
      <c r="E18" s="319"/>
      <c r="F18" s="320"/>
      <c r="G18" s="320"/>
      <c r="H18" s="320"/>
      <c r="I18" s="320"/>
      <c r="J18" s="288" t="e">
        <f>IF(AND('Mapa final'!#REF!="Alta",'Mapa final'!#REF!="Leve"),CONCATENATE("R",'Mapa final'!#REF!),"")</f>
        <v>#REF!</v>
      </c>
      <c r="K18" s="289"/>
      <c r="L18" s="289" t="e">
        <f>IF(AND('Mapa final'!#REF!="Alta",'Mapa final'!#REF!="Leve"),CONCATENATE("R",'Mapa final'!#REF!),"")</f>
        <v>#REF!</v>
      </c>
      <c r="M18" s="289"/>
      <c r="N18" s="289" t="e">
        <f>IF(AND('Mapa final'!#REF!="Alta",'Mapa final'!#REF!="Leve"),CONCATENATE("R",'Mapa final'!#REF!),"")</f>
        <v>#REF!</v>
      </c>
      <c r="O18" s="290"/>
      <c r="P18" s="288" t="e">
        <f>IF(AND('Mapa final'!#REF!="Alta",'Mapa final'!#REF!="Menor"),CONCATENATE("R",'Mapa final'!#REF!),"")</f>
        <v>#REF!</v>
      </c>
      <c r="Q18" s="289"/>
      <c r="R18" s="289" t="e">
        <f>IF(AND('Mapa final'!#REF!="Alta",'Mapa final'!#REF!="Menor"),CONCATENATE("R",'Mapa final'!#REF!),"")</f>
        <v>#REF!</v>
      </c>
      <c r="S18" s="289"/>
      <c r="T18" s="289" t="e">
        <f>IF(AND('Mapa final'!#REF!="Alta",'Mapa final'!#REF!="Menor"),CONCATENATE("R",'Mapa final'!#REF!),"")</f>
        <v>#REF!</v>
      </c>
      <c r="U18" s="290"/>
      <c r="V18" s="306" t="e">
        <f>IF(AND('Mapa final'!#REF!="Alta",'Mapa final'!#REF!="Moderado"),CONCATENATE("R",'Mapa final'!#REF!),"")</f>
        <v>#REF!</v>
      </c>
      <c r="W18" s="307"/>
      <c r="X18" s="307" t="e">
        <f>IF(AND('Mapa final'!#REF!="Alta",'Mapa final'!#REF!="Moderado"),CONCATENATE("R",'Mapa final'!#REF!),"")</f>
        <v>#REF!</v>
      </c>
      <c r="Y18" s="307"/>
      <c r="Z18" s="307" t="e">
        <f>IF(AND('Mapa final'!#REF!="Alta",'Mapa final'!#REF!="Moderado"),CONCATENATE("R",'Mapa final'!#REF!),"")</f>
        <v>#REF!</v>
      </c>
      <c r="AA18" s="308"/>
      <c r="AB18" s="306" t="e">
        <f>IF(AND('Mapa final'!#REF!="Alta",'Mapa final'!#REF!="Mayor"),CONCATENATE("R",'Mapa final'!#REF!),"")</f>
        <v>#REF!</v>
      </c>
      <c r="AC18" s="307"/>
      <c r="AD18" s="307" t="e">
        <f>IF(AND('Mapa final'!#REF!="Alta",'Mapa final'!#REF!="Mayor"),CONCATENATE("R",'Mapa final'!#REF!),"")</f>
        <v>#REF!</v>
      </c>
      <c r="AE18" s="307"/>
      <c r="AF18" s="307" t="e">
        <f>IF(AND('Mapa final'!#REF!="Alta",'Mapa final'!#REF!="Mayor"),CONCATENATE("R",'Mapa final'!#REF!),"")</f>
        <v>#REF!</v>
      </c>
      <c r="AG18" s="308"/>
      <c r="AH18" s="297" t="e">
        <f>IF(AND('Mapa final'!#REF!="Alta",'Mapa final'!#REF!="Catastrófico"),CONCATENATE("R",'Mapa final'!#REF!),"")</f>
        <v>#REF!</v>
      </c>
      <c r="AI18" s="298"/>
      <c r="AJ18" s="298" t="e">
        <f>IF(AND('Mapa final'!#REF!="Alta",'Mapa final'!#REF!="Catastrófico"),CONCATENATE("R",'Mapa final'!#REF!),"")</f>
        <v>#REF!</v>
      </c>
      <c r="AK18" s="298"/>
      <c r="AL18" s="298" t="e">
        <f>IF(AND('Mapa final'!#REF!="Alta",'Mapa final'!#REF!="Catastrófico"),CONCATENATE("R",'Mapa final'!#REF!),"")</f>
        <v>#REF!</v>
      </c>
      <c r="AM18" s="299"/>
      <c r="AN18" s="75"/>
      <c r="AO18" s="340"/>
      <c r="AP18" s="341"/>
      <c r="AQ18" s="341"/>
      <c r="AR18" s="341"/>
      <c r="AS18" s="341"/>
      <c r="AT18" s="342"/>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326"/>
      <c r="C19" s="326"/>
      <c r="D19" s="327"/>
      <c r="E19" s="319"/>
      <c r="F19" s="320"/>
      <c r="G19" s="320"/>
      <c r="H19" s="320"/>
      <c r="I19" s="320"/>
      <c r="J19" s="288"/>
      <c r="K19" s="289"/>
      <c r="L19" s="289"/>
      <c r="M19" s="289"/>
      <c r="N19" s="289"/>
      <c r="O19" s="290"/>
      <c r="P19" s="288"/>
      <c r="Q19" s="289"/>
      <c r="R19" s="289"/>
      <c r="S19" s="289"/>
      <c r="T19" s="289"/>
      <c r="U19" s="290"/>
      <c r="V19" s="306"/>
      <c r="W19" s="307"/>
      <c r="X19" s="307"/>
      <c r="Y19" s="307"/>
      <c r="Z19" s="307"/>
      <c r="AA19" s="308"/>
      <c r="AB19" s="306"/>
      <c r="AC19" s="307"/>
      <c r="AD19" s="307"/>
      <c r="AE19" s="307"/>
      <c r="AF19" s="307"/>
      <c r="AG19" s="308"/>
      <c r="AH19" s="297"/>
      <c r="AI19" s="298"/>
      <c r="AJ19" s="298"/>
      <c r="AK19" s="298"/>
      <c r="AL19" s="298"/>
      <c r="AM19" s="299"/>
      <c r="AN19" s="75"/>
      <c r="AO19" s="340"/>
      <c r="AP19" s="341"/>
      <c r="AQ19" s="341"/>
      <c r="AR19" s="341"/>
      <c r="AS19" s="341"/>
      <c r="AT19" s="342"/>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326"/>
      <c r="C20" s="326"/>
      <c r="D20" s="327"/>
      <c r="E20" s="319"/>
      <c r="F20" s="320"/>
      <c r="G20" s="320"/>
      <c r="H20" s="320"/>
      <c r="I20" s="320"/>
      <c r="J20" s="288" t="e">
        <f>IF(AND('Mapa final'!#REF!="Alta",'Mapa final'!#REF!="Leve"),CONCATENATE("R",'Mapa final'!#REF!),"")</f>
        <v>#REF!</v>
      </c>
      <c r="K20" s="289"/>
      <c r="L20" s="289" t="str">
        <f>IF(AND('Mapa final'!$L$22="Alta",'Mapa final'!$P$22="Leve"),CONCATENATE("R",'Mapa final'!$A$22),"")</f>
        <v/>
      </c>
      <c r="M20" s="289"/>
      <c r="N20" s="289" t="str">
        <f>IF(AND('Mapa final'!$L$24="Alta",'Mapa final'!$P$24="Leve"),CONCATENATE("R",'Mapa final'!$A$24),"")</f>
        <v/>
      </c>
      <c r="O20" s="290"/>
      <c r="P20" s="288" t="e">
        <f>IF(AND('Mapa final'!#REF!="Alta",'Mapa final'!#REF!="Menor"),CONCATENATE("R",'Mapa final'!#REF!),"")</f>
        <v>#REF!</v>
      </c>
      <c r="Q20" s="289"/>
      <c r="R20" s="289" t="str">
        <f>IF(AND('Mapa final'!$L$22="Alta",'Mapa final'!$P$22="Menor"),CONCATENATE("R",'Mapa final'!$A$22),"")</f>
        <v/>
      </c>
      <c r="S20" s="289"/>
      <c r="T20" s="289" t="str">
        <f>IF(AND('Mapa final'!$L$24="Alta",'Mapa final'!$P$24="Menor"),CONCATENATE("R",'Mapa final'!$A$24),"")</f>
        <v/>
      </c>
      <c r="U20" s="290"/>
      <c r="V20" s="306" t="e">
        <f>IF(AND('Mapa final'!#REF!="Alta",'Mapa final'!#REF!="Moderado"),CONCATENATE("R",'Mapa final'!#REF!),"")</f>
        <v>#REF!</v>
      </c>
      <c r="W20" s="307"/>
      <c r="X20" s="307" t="str">
        <f>IF(AND('Mapa final'!$L$22="Alta",'Mapa final'!$P$22="Moderado"),CONCATENATE("R",'Mapa final'!$A$22),"")</f>
        <v/>
      </c>
      <c r="Y20" s="307"/>
      <c r="Z20" s="307" t="str">
        <f>IF(AND('Mapa final'!$L$24="Alta",'Mapa final'!$P$24="Moderado"),CONCATENATE("R",'Mapa final'!$A$24),"")</f>
        <v/>
      </c>
      <c r="AA20" s="308"/>
      <c r="AB20" s="306" t="e">
        <f>IF(AND('Mapa final'!#REF!="Alta",'Mapa final'!#REF!="Mayor"),CONCATENATE("R",'Mapa final'!#REF!),"")</f>
        <v>#REF!</v>
      </c>
      <c r="AC20" s="307"/>
      <c r="AD20" s="307" t="str">
        <f>IF(AND('Mapa final'!$L$22="Alta",'Mapa final'!$P$22="Mayor"),CONCATENATE("R",'Mapa final'!$A$22),"")</f>
        <v/>
      </c>
      <c r="AE20" s="307"/>
      <c r="AF20" s="307" t="str">
        <f>IF(AND('Mapa final'!$L$24="Alta",'Mapa final'!$P$24="Mayor"),CONCATENATE("R",'Mapa final'!$A$24),"")</f>
        <v/>
      </c>
      <c r="AG20" s="308"/>
      <c r="AH20" s="297" t="e">
        <f>IF(AND('Mapa final'!#REF!="Alta",'Mapa final'!#REF!="Catastrófico"),CONCATENATE("R",'Mapa final'!#REF!),"")</f>
        <v>#REF!</v>
      </c>
      <c r="AI20" s="298"/>
      <c r="AJ20" s="298" t="str">
        <f>IF(AND('Mapa final'!$L$22="Alta",'Mapa final'!$P$22="Catastrófico"),CONCATENATE("R",'Mapa final'!$A$22),"")</f>
        <v/>
      </c>
      <c r="AK20" s="298"/>
      <c r="AL20" s="298" t="str">
        <f>IF(AND('Mapa final'!$L$24="Alta",'Mapa final'!$P$24="Catastrófico"),CONCATENATE("R",'Mapa final'!$A$24),"")</f>
        <v/>
      </c>
      <c r="AM20" s="299"/>
      <c r="AN20" s="75"/>
      <c r="AO20" s="340"/>
      <c r="AP20" s="341"/>
      <c r="AQ20" s="341"/>
      <c r="AR20" s="341"/>
      <c r="AS20" s="341"/>
      <c r="AT20" s="342"/>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326"/>
      <c r="C21" s="326"/>
      <c r="D21" s="327"/>
      <c r="E21" s="322"/>
      <c r="F21" s="323"/>
      <c r="G21" s="323"/>
      <c r="H21" s="323"/>
      <c r="I21" s="323"/>
      <c r="J21" s="291"/>
      <c r="K21" s="292"/>
      <c r="L21" s="292"/>
      <c r="M21" s="292"/>
      <c r="N21" s="292"/>
      <c r="O21" s="293"/>
      <c r="P21" s="291"/>
      <c r="Q21" s="292"/>
      <c r="R21" s="292"/>
      <c r="S21" s="292"/>
      <c r="T21" s="292"/>
      <c r="U21" s="293"/>
      <c r="V21" s="309"/>
      <c r="W21" s="310"/>
      <c r="X21" s="310"/>
      <c r="Y21" s="310"/>
      <c r="Z21" s="310"/>
      <c r="AA21" s="311"/>
      <c r="AB21" s="309"/>
      <c r="AC21" s="310"/>
      <c r="AD21" s="310"/>
      <c r="AE21" s="310"/>
      <c r="AF21" s="310"/>
      <c r="AG21" s="311"/>
      <c r="AH21" s="300"/>
      <c r="AI21" s="301"/>
      <c r="AJ21" s="301"/>
      <c r="AK21" s="301"/>
      <c r="AL21" s="301"/>
      <c r="AM21" s="302"/>
      <c r="AN21" s="75"/>
      <c r="AO21" s="343"/>
      <c r="AP21" s="344"/>
      <c r="AQ21" s="344"/>
      <c r="AR21" s="344"/>
      <c r="AS21" s="344"/>
      <c r="AT21" s="34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326"/>
      <c r="C22" s="326"/>
      <c r="D22" s="327"/>
      <c r="E22" s="316" t="s">
        <v>116</v>
      </c>
      <c r="F22" s="317"/>
      <c r="G22" s="317"/>
      <c r="H22" s="317"/>
      <c r="I22" s="318"/>
      <c r="J22" s="294" t="e">
        <f>IF(AND('Mapa final'!#REF!="Media",'Mapa final'!#REF!="Leve"),CONCATENATE("R",'Mapa final'!#REF!),"")</f>
        <v>#REF!</v>
      </c>
      <c r="K22" s="295"/>
      <c r="L22" s="295" t="str">
        <f>IF(AND('Mapa final'!$L$12="Media",'Mapa final'!$P$12="Leve"),CONCATENATE("R",'Mapa final'!$A$12),"")</f>
        <v/>
      </c>
      <c r="M22" s="295"/>
      <c r="N22" s="295" t="e">
        <f>IF(AND('Mapa final'!#REF!="Media",'Mapa final'!#REF!="Leve"),CONCATENATE("R",'Mapa final'!#REF!),"")</f>
        <v>#REF!</v>
      </c>
      <c r="O22" s="296"/>
      <c r="P22" s="294" t="e">
        <f>IF(AND('Mapa final'!#REF!="Media",'Mapa final'!#REF!="Menor"),CONCATENATE("R",'Mapa final'!#REF!),"")</f>
        <v>#REF!</v>
      </c>
      <c r="Q22" s="295"/>
      <c r="R22" s="295" t="str">
        <f>IF(AND('Mapa final'!$L$12="Media",'Mapa final'!$P$12="Menor"),CONCATENATE("R",'Mapa final'!$A$12),"")</f>
        <v/>
      </c>
      <c r="S22" s="295"/>
      <c r="T22" s="295" t="e">
        <f>IF(AND('Mapa final'!#REF!="Media",'Mapa final'!#REF!="Menor"),CONCATENATE("R",'Mapa final'!#REF!),"")</f>
        <v>#REF!</v>
      </c>
      <c r="U22" s="296"/>
      <c r="V22" s="294" t="e">
        <f>IF(AND('Mapa final'!#REF!="Media",'Mapa final'!#REF!="Moderado"),CONCATENATE("R",'Mapa final'!#REF!),"")</f>
        <v>#REF!</v>
      </c>
      <c r="W22" s="295"/>
      <c r="X22" s="295" t="str">
        <f>IF(AND('Mapa final'!$L$12="Media",'Mapa final'!$P$12="Moderado"),CONCATENATE("R",'Mapa final'!$A$12),"")</f>
        <v>R1</v>
      </c>
      <c r="Y22" s="295"/>
      <c r="Z22" s="295" t="e">
        <f>IF(AND('Mapa final'!#REF!="Media",'Mapa final'!#REF!="Moderado"),CONCATENATE("R",'Mapa final'!#REF!),"")</f>
        <v>#REF!</v>
      </c>
      <c r="AA22" s="296"/>
      <c r="AB22" s="312" t="e">
        <f>IF(AND('Mapa final'!#REF!="Media",'Mapa final'!#REF!="Mayor"),CONCATENATE("R",'Mapa final'!#REF!),"")</f>
        <v>#REF!</v>
      </c>
      <c r="AC22" s="313"/>
      <c r="AD22" s="313" t="str">
        <f>IF(AND('Mapa final'!$L$12="Media",'Mapa final'!$P$12="Mayor"),CONCATENATE("R",'Mapa final'!$A$12),"")</f>
        <v/>
      </c>
      <c r="AE22" s="313"/>
      <c r="AF22" s="313" t="e">
        <f>IF(AND('Mapa final'!#REF!="Media",'Mapa final'!#REF!="Mayor"),CONCATENATE("R",'Mapa final'!#REF!),"")</f>
        <v>#REF!</v>
      </c>
      <c r="AG22" s="314"/>
      <c r="AH22" s="303" t="e">
        <f>IF(AND('Mapa final'!#REF!="Media",'Mapa final'!#REF!="Catastrófico"),CONCATENATE("R",'Mapa final'!#REF!),"")</f>
        <v>#REF!</v>
      </c>
      <c r="AI22" s="304"/>
      <c r="AJ22" s="304" t="str">
        <f>IF(AND('Mapa final'!$L$12="Media",'Mapa final'!$P$12="Catastrófico"),CONCATENATE("R",'Mapa final'!$A$12),"")</f>
        <v/>
      </c>
      <c r="AK22" s="304"/>
      <c r="AL22" s="304" t="e">
        <f>IF(AND('Mapa final'!#REF!="Media",'Mapa final'!#REF!="Catastrófico"),CONCATENATE("R",'Mapa final'!#REF!),"")</f>
        <v>#REF!</v>
      </c>
      <c r="AM22" s="305"/>
      <c r="AN22" s="75"/>
      <c r="AO22" s="346" t="s">
        <v>80</v>
      </c>
      <c r="AP22" s="347"/>
      <c r="AQ22" s="347"/>
      <c r="AR22" s="347"/>
      <c r="AS22" s="347"/>
      <c r="AT22" s="348"/>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326"/>
      <c r="C23" s="326"/>
      <c r="D23" s="327"/>
      <c r="E23" s="319"/>
      <c r="F23" s="320"/>
      <c r="G23" s="320"/>
      <c r="H23" s="320"/>
      <c r="I23" s="321"/>
      <c r="J23" s="288"/>
      <c r="K23" s="289"/>
      <c r="L23" s="289"/>
      <c r="M23" s="289"/>
      <c r="N23" s="289"/>
      <c r="O23" s="290"/>
      <c r="P23" s="288"/>
      <c r="Q23" s="289"/>
      <c r="R23" s="289"/>
      <c r="S23" s="289"/>
      <c r="T23" s="289"/>
      <c r="U23" s="290"/>
      <c r="V23" s="288"/>
      <c r="W23" s="289"/>
      <c r="X23" s="289"/>
      <c r="Y23" s="289"/>
      <c r="Z23" s="289"/>
      <c r="AA23" s="290"/>
      <c r="AB23" s="306"/>
      <c r="AC23" s="307"/>
      <c r="AD23" s="307"/>
      <c r="AE23" s="307"/>
      <c r="AF23" s="307"/>
      <c r="AG23" s="308"/>
      <c r="AH23" s="297"/>
      <c r="AI23" s="298"/>
      <c r="AJ23" s="298"/>
      <c r="AK23" s="298"/>
      <c r="AL23" s="298"/>
      <c r="AM23" s="299"/>
      <c r="AN23" s="75"/>
      <c r="AO23" s="349"/>
      <c r="AP23" s="350"/>
      <c r="AQ23" s="350"/>
      <c r="AR23" s="350"/>
      <c r="AS23" s="350"/>
      <c r="AT23" s="351"/>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326"/>
      <c r="C24" s="326"/>
      <c r="D24" s="327"/>
      <c r="E24" s="319"/>
      <c r="F24" s="320"/>
      <c r="G24" s="320"/>
      <c r="H24" s="320"/>
      <c r="I24" s="321"/>
      <c r="J24" s="288" t="e">
        <f>IF(AND('Mapa final'!#REF!="Media",'Mapa final'!#REF!="Leve"),CONCATENATE("R",'Mapa final'!#REF!),"")</f>
        <v>#REF!</v>
      </c>
      <c r="K24" s="289"/>
      <c r="L24" s="289" t="e">
        <f>IF(AND('Mapa final'!#REF!="Media",'Mapa final'!#REF!="Leve"),CONCATENATE("R",'Mapa final'!#REF!),"")</f>
        <v>#REF!</v>
      </c>
      <c r="M24" s="289"/>
      <c r="N24" s="289" t="e">
        <f>IF(AND('Mapa final'!#REF!="Media",'Mapa final'!#REF!="Leve"),CONCATENATE("R",'Mapa final'!#REF!),"")</f>
        <v>#REF!</v>
      </c>
      <c r="O24" s="290"/>
      <c r="P24" s="288" t="e">
        <f>IF(AND('Mapa final'!#REF!="Media",'Mapa final'!#REF!="Menor"),CONCATENATE("R",'Mapa final'!#REF!),"")</f>
        <v>#REF!</v>
      </c>
      <c r="Q24" s="289"/>
      <c r="R24" s="289" t="e">
        <f>IF(AND('Mapa final'!#REF!="Media",'Mapa final'!#REF!="Menor"),CONCATENATE("R",'Mapa final'!#REF!),"")</f>
        <v>#REF!</v>
      </c>
      <c r="S24" s="289"/>
      <c r="T24" s="289" t="e">
        <f>IF(AND('Mapa final'!#REF!="Media",'Mapa final'!#REF!="Menor"),CONCATENATE("R",'Mapa final'!#REF!),"")</f>
        <v>#REF!</v>
      </c>
      <c r="U24" s="290"/>
      <c r="V24" s="288" t="e">
        <f>IF(AND('Mapa final'!#REF!="Media",'Mapa final'!#REF!="Moderado"),CONCATENATE("R",'Mapa final'!#REF!),"")</f>
        <v>#REF!</v>
      </c>
      <c r="W24" s="289"/>
      <c r="X24" s="289" t="e">
        <f>IF(AND('Mapa final'!#REF!="Media",'Mapa final'!#REF!="Moderado"),CONCATENATE("R",'Mapa final'!#REF!),"")</f>
        <v>#REF!</v>
      </c>
      <c r="Y24" s="289"/>
      <c r="Z24" s="289" t="e">
        <f>IF(AND('Mapa final'!#REF!="Media",'Mapa final'!#REF!="Moderado"),CONCATENATE("R",'Mapa final'!#REF!),"")</f>
        <v>#REF!</v>
      </c>
      <c r="AA24" s="290"/>
      <c r="AB24" s="306" t="e">
        <f>IF(AND('Mapa final'!#REF!="Media",'Mapa final'!#REF!="Mayor"),CONCATENATE("R",'Mapa final'!#REF!),"")</f>
        <v>#REF!</v>
      </c>
      <c r="AC24" s="307"/>
      <c r="AD24" s="307" t="e">
        <f>IF(AND('Mapa final'!#REF!="Media",'Mapa final'!#REF!="Mayor"),CONCATENATE("R",'Mapa final'!#REF!),"")</f>
        <v>#REF!</v>
      </c>
      <c r="AE24" s="307"/>
      <c r="AF24" s="307" t="e">
        <f>IF(AND('Mapa final'!#REF!="Media",'Mapa final'!#REF!="Mayor"),CONCATENATE("R",'Mapa final'!#REF!),"")</f>
        <v>#REF!</v>
      </c>
      <c r="AG24" s="308"/>
      <c r="AH24" s="297" t="e">
        <f>IF(AND('Mapa final'!#REF!="Media",'Mapa final'!#REF!="Catastrófico"),CONCATENATE("R",'Mapa final'!#REF!),"")</f>
        <v>#REF!</v>
      </c>
      <c r="AI24" s="298"/>
      <c r="AJ24" s="298" t="e">
        <f>IF(AND('Mapa final'!#REF!="Media",'Mapa final'!#REF!="Catastrófico"),CONCATENATE("R",'Mapa final'!#REF!),"")</f>
        <v>#REF!</v>
      </c>
      <c r="AK24" s="298"/>
      <c r="AL24" s="298" t="e">
        <f>IF(AND('Mapa final'!#REF!="Media",'Mapa final'!#REF!="Catastrófico"),CONCATENATE("R",'Mapa final'!#REF!),"")</f>
        <v>#REF!</v>
      </c>
      <c r="AM24" s="299"/>
      <c r="AN24" s="75"/>
      <c r="AO24" s="349"/>
      <c r="AP24" s="350"/>
      <c r="AQ24" s="350"/>
      <c r="AR24" s="350"/>
      <c r="AS24" s="350"/>
      <c r="AT24" s="351"/>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326"/>
      <c r="C25" s="326"/>
      <c r="D25" s="327"/>
      <c r="E25" s="319"/>
      <c r="F25" s="320"/>
      <c r="G25" s="320"/>
      <c r="H25" s="320"/>
      <c r="I25" s="321"/>
      <c r="J25" s="288"/>
      <c r="K25" s="289"/>
      <c r="L25" s="289"/>
      <c r="M25" s="289"/>
      <c r="N25" s="289"/>
      <c r="O25" s="290"/>
      <c r="P25" s="288"/>
      <c r="Q25" s="289"/>
      <c r="R25" s="289"/>
      <c r="S25" s="289"/>
      <c r="T25" s="289"/>
      <c r="U25" s="290"/>
      <c r="V25" s="288"/>
      <c r="W25" s="289"/>
      <c r="X25" s="289"/>
      <c r="Y25" s="289"/>
      <c r="Z25" s="289"/>
      <c r="AA25" s="290"/>
      <c r="AB25" s="306"/>
      <c r="AC25" s="307"/>
      <c r="AD25" s="307"/>
      <c r="AE25" s="307"/>
      <c r="AF25" s="307"/>
      <c r="AG25" s="308"/>
      <c r="AH25" s="297"/>
      <c r="AI25" s="298"/>
      <c r="AJ25" s="298"/>
      <c r="AK25" s="298"/>
      <c r="AL25" s="298"/>
      <c r="AM25" s="299"/>
      <c r="AN25" s="75"/>
      <c r="AO25" s="349"/>
      <c r="AP25" s="350"/>
      <c r="AQ25" s="350"/>
      <c r="AR25" s="350"/>
      <c r="AS25" s="350"/>
      <c r="AT25" s="351"/>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326"/>
      <c r="C26" s="326"/>
      <c r="D26" s="327"/>
      <c r="E26" s="319"/>
      <c r="F26" s="320"/>
      <c r="G26" s="320"/>
      <c r="H26" s="320"/>
      <c r="I26" s="321"/>
      <c r="J26" s="288" t="e">
        <f>IF(AND('Mapa final'!#REF!="Media",'Mapa final'!#REF!="Leve"),CONCATENATE("R",'Mapa final'!#REF!),"")</f>
        <v>#REF!</v>
      </c>
      <c r="K26" s="289"/>
      <c r="L26" s="289" t="e">
        <f>IF(AND('Mapa final'!#REF!="Media",'Mapa final'!#REF!="Leve"),CONCATENATE("R",'Mapa final'!#REF!),"")</f>
        <v>#REF!</v>
      </c>
      <c r="M26" s="289"/>
      <c r="N26" s="289" t="e">
        <f>IF(AND('Mapa final'!#REF!="Media",'Mapa final'!#REF!="Leve"),CONCATENATE("R",'Mapa final'!#REF!),"")</f>
        <v>#REF!</v>
      </c>
      <c r="O26" s="290"/>
      <c r="P26" s="288" t="e">
        <f>IF(AND('Mapa final'!#REF!="Media",'Mapa final'!#REF!="Menor"),CONCATENATE("R",'Mapa final'!#REF!),"")</f>
        <v>#REF!</v>
      </c>
      <c r="Q26" s="289"/>
      <c r="R26" s="289" t="e">
        <f>IF(AND('Mapa final'!#REF!="Media",'Mapa final'!#REF!="Menor"),CONCATENATE("R",'Mapa final'!#REF!),"")</f>
        <v>#REF!</v>
      </c>
      <c r="S26" s="289"/>
      <c r="T26" s="289" t="e">
        <f>IF(AND('Mapa final'!#REF!="Media",'Mapa final'!#REF!="Menor"),CONCATENATE("R",'Mapa final'!#REF!),"")</f>
        <v>#REF!</v>
      </c>
      <c r="U26" s="290"/>
      <c r="V26" s="288" t="e">
        <f>IF(AND('Mapa final'!#REF!="Media",'Mapa final'!#REF!="Moderado"),CONCATENATE("R",'Mapa final'!#REF!),"")</f>
        <v>#REF!</v>
      </c>
      <c r="W26" s="289"/>
      <c r="X26" s="289" t="e">
        <f>IF(AND('Mapa final'!#REF!="Media",'Mapa final'!#REF!="Moderado"),CONCATENATE("R",'Mapa final'!#REF!),"")</f>
        <v>#REF!</v>
      </c>
      <c r="Y26" s="289"/>
      <c r="Z26" s="289" t="e">
        <f>IF(AND('Mapa final'!#REF!="Media",'Mapa final'!#REF!="Moderado"),CONCATENATE("R",'Mapa final'!#REF!),"")</f>
        <v>#REF!</v>
      </c>
      <c r="AA26" s="290"/>
      <c r="AB26" s="306" t="e">
        <f>IF(AND('Mapa final'!#REF!="Media",'Mapa final'!#REF!="Mayor"),CONCATENATE("R",'Mapa final'!#REF!),"")</f>
        <v>#REF!</v>
      </c>
      <c r="AC26" s="307"/>
      <c r="AD26" s="307" t="e">
        <f>IF(AND('Mapa final'!#REF!="Media",'Mapa final'!#REF!="Mayor"),CONCATENATE("R",'Mapa final'!#REF!),"")</f>
        <v>#REF!</v>
      </c>
      <c r="AE26" s="307"/>
      <c r="AF26" s="307" t="e">
        <f>IF(AND('Mapa final'!#REF!="Media",'Mapa final'!#REF!="Mayor"),CONCATENATE("R",'Mapa final'!#REF!),"")</f>
        <v>#REF!</v>
      </c>
      <c r="AG26" s="308"/>
      <c r="AH26" s="297" t="e">
        <f>IF(AND('Mapa final'!#REF!="Media",'Mapa final'!#REF!="Catastrófico"),CONCATENATE("R",'Mapa final'!#REF!),"")</f>
        <v>#REF!</v>
      </c>
      <c r="AI26" s="298"/>
      <c r="AJ26" s="298" t="e">
        <f>IF(AND('Mapa final'!#REF!="Media",'Mapa final'!#REF!="Catastrófico"),CONCATENATE("R",'Mapa final'!#REF!),"")</f>
        <v>#REF!</v>
      </c>
      <c r="AK26" s="298"/>
      <c r="AL26" s="298" t="e">
        <f>IF(AND('Mapa final'!#REF!="Media",'Mapa final'!#REF!="Catastrófico"),CONCATENATE("R",'Mapa final'!#REF!),"")</f>
        <v>#REF!</v>
      </c>
      <c r="AM26" s="299"/>
      <c r="AN26" s="75"/>
      <c r="AO26" s="349"/>
      <c r="AP26" s="350"/>
      <c r="AQ26" s="350"/>
      <c r="AR26" s="350"/>
      <c r="AS26" s="350"/>
      <c r="AT26" s="351"/>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326"/>
      <c r="C27" s="326"/>
      <c r="D27" s="327"/>
      <c r="E27" s="319"/>
      <c r="F27" s="320"/>
      <c r="G27" s="320"/>
      <c r="H27" s="320"/>
      <c r="I27" s="321"/>
      <c r="J27" s="288"/>
      <c r="K27" s="289"/>
      <c r="L27" s="289"/>
      <c r="M27" s="289"/>
      <c r="N27" s="289"/>
      <c r="O27" s="290"/>
      <c r="P27" s="288"/>
      <c r="Q27" s="289"/>
      <c r="R27" s="289"/>
      <c r="S27" s="289"/>
      <c r="T27" s="289"/>
      <c r="U27" s="290"/>
      <c r="V27" s="288"/>
      <c r="W27" s="289"/>
      <c r="X27" s="289"/>
      <c r="Y27" s="289"/>
      <c r="Z27" s="289"/>
      <c r="AA27" s="290"/>
      <c r="AB27" s="306"/>
      <c r="AC27" s="307"/>
      <c r="AD27" s="307"/>
      <c r="AE27" s="307"/>
      <c r="AF27" s="307"/>
      <c r="AG27" s="308"/>
      <c r="AH27" s="297"/>
      <c r="AI27" s="298"/>
      <c r="AJ27" s="298"/>
      <c r="AK27" s="298"/>
      <c r="AL27" s="298"/>
      <c r="AM27" s="299"/>
      <c r="AN27" s="75"/>
      <c r="AO27" s="349"/>
      <c r="AP27" s="350"/>
      <c r="AQ27" s="350"/>
      <c r="AR27" s="350"/>
      <c r="AS27" s="350"/>
      <c r="AT27" s="351"/>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326"/>
      <c r="C28" s="326"/>
      <c r="D28" s="327"/>
      <c r="E28" s="319"/>
      <c r="F28" s="320"/>
      <c r="G28" s="320"/>
      <c r="H28" s="320"/>
      <c r="I28" s="321"/>
      <c r="J28" s="288" t="e">
        <f>IF(AND('Mapa final'!#REF!="Media",'Mapa final'!#REF!="Leve"),CONCATENATE("R",'Mapa final'!#REF!),"")</f>
        <v>#REF!</v>
      </c>
      <c r="K28" s="289"/>
      <c r="L28" s="289" t="str">
        <f>IF(AND('Mapa final'!$L$22="Media",'Mapa final'!$P$22="Leve"),CONCATENATE("R",'Mapa final'!$A$22),"")</f>
        <v/>
      </c>
      <c r="M28" s="289"/>
      <c r="N28" s="289" t="str">
        <f>IF(AND('Mapa final'!$L$24="Media",'Mapa final'!$P$24="Leve"),CONCATENATE("R",'Mapa final'!$A$24),"")</f>
        <v/>
      </c>
      <c r="O28" s="290"/>
      <c r="P28" s="288" t="e">
        <f>IF(AND('Mapa final'!#REF!="Media",'Mapa final'!#REF!="Menor"),CONCATENATE("R",'Mapa final'!#REF!),"")</f>
        <v>#REF!</v>
      </c>
      <c r="Q28" s="289"/>
      <c r="R28" s="289" t="str">
        <f>IF(AND('Mapa final'!$L$22="Media",'Mapa final'!$P$22="Menor"),CONCATENATE("R",'Mapa final'!$A$22),"")</f>
        <v/>
      </c>
      <c r="S28" s="289"/>
      <c r="T28" s="289" t="str">
        <f>IF(AND('Mapa final'!$L$24="Media",'Mapa final'!$P$24="Menor"),CONCATENATE("R",'Mapa final'!$A$24),"")</f>
        <v/>
      </c>
      <c r="U28" s="290"/>
      <c r="V28" s="288" t="e">
        <f>IF(AND('Mapa final'!#REF!="Media",'Mapa final'!#REF!="Moderado"),CONCATENATE("R",'Mapa final'!#REF!),"")</f>
        <v>#REF!</v>
      </c>
      <c r="W28" s="289"/>
      <c r="X28" s="289" t="str">
        <f>IF(AND('Mapa final'!$L$22="Media",'Mapa final'!$P$22="Moderado"),CONCATENATE("R",'Mapa final'!$A$22),"")</f>
        <v/>
      </c>
      <c r="Y28" s="289"/>
      <c r="Z28" s="289" t="str">
        <f>IF(AND('Mapa final'!$L$24="Media",'Mapa final'!$P$24="Moderado"),CONCATENATE("R",'Mapa final'!$A$24),"")</f>
        <v/>
      </c>
      <c r="AA28" s="290"/>
      <c r="AB28" s="306" t="e">
        <f>IF(AND('Mapa final'!#REF!="Media",'Mapa final'!#REF!="Mayor"),CONCATENATE("R",'Mapa final'!#REF!),"")</f>
        <v>#REF!</v>
      </c>
      <c r="AC28" s="307"/>
      <c r="AD28" s="307" t="str">
        <f>IF(AND('Mapa final'!$L$22="Media",'Mapa final'!$P$22="Mayor"),CONCATENATE("R",'Mapa final'!$A$22),"")</f>
        <v/>
      </c>
      <c r="AE28" s="307"/>
      <c r="AF28" s="307" t="str">
        <f>IF(AND('Mapa final'!$L$24="Media",'Mapa final'!$P$24="Mayor"),CONCATENATE("R",'Mapa final'!$A$24),"")</f>
        <v/>
      </c>
      <c r="AG28" s="308"/>
      <c r="AH28" s="297" t="e">
        <f>IF(AND('Mapa final'!#REF!="Media",'Mapa final'!#REF!="Catastrófico"),CONCATENATE("R",'Mapa final'!#REF!),"")</f>
        <v>#REF!</v>
      </c>
      <c r="AI28" s="298"/>
      <c r="AJ28" s="298" t="str">
        <f>IF(AND('Mapa final'!$L$22="Media",'Mapa final'!$P$22="Catastrófico"),CONCATENATE("R",'Mapa final'!$A$22),"")</f>
        <v/>
      </c>
      <c r="AK28" s="298"/>
      <c r="AL28" s="298" t="str">
        <f>IF(AND('Mapa final'!$L$24="Media",'Mapa final'!$P$24="Catastrófico"),CONCATENATE("R",'Mapa final'!$A$24),"")</f>
        <v/>
      </c>
      <c r="AM28" s="299"/>
      <c r="AN28" s="75"/>
      <c r="AO28" s="349"/>
      <c r="AP28" s="350"/>
      <c r="AQ28" s="350"/>
      <c r="AR28" s="350"/>
      <c r="AS28" s="350"/>
      <c r="AT28" s="351"/>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326"/>
      <c r="C29" s="326"/>
      <c r="D29" s="327"/>
      <c r="E29" s="322"/>
      <c r="F29" s="323"/>
      <c r="G29" s="323"/>
      <c r="H29" s="323"/>
      <c r="I29" s="324"/>
      <c r="J29" s="288"/>
      <c r="K29" s="289"/>
      <c r="L29" s="289"/>
      <c r="M29" s="289"/>
      <c r="N29" s="289"/>
      <c r="O29" s="290"/>
      <c r="P29" s="291"/>
      <c r="Q29" s="292"/>
      <c r="R29" s="292"/>
      <c r="S29" s="292"/>
      <c r="T29" s="292"/>
      <c r="U29" s="293"/>
      <c r="V29" s="291"/>
      <c r="W29" s="292"/>
      <c r="X29" s="292"/>
      <c r="Y29" s="292"/>
      <c r="Z29" s="292"/>
      <c r="AA29" s="293"/>
      <c r="AB29" s="309"/>
      <c r="AC29" s="310"/>
      <c r="AD29" s="310"/>
      <c r="AE29" s="310"/>
      <c r="AF29" s="310"/>
      <c r="AG29" s="311"/>
      <c r="AH29" s="300"/>
      <c r="AI29" s="301"/>
      <c r="AJ29" s="301"/>
      <c r="AK29" s="301"/>
      <c r="AL29" s="301"/>
      <c r="AM29" s="302"/>
      <c r="AN29" s="75"/>
      <c r="AO29" s="352"/>
      <c r="AP29" s="353"/>
      <c r="AQ29" s="353"/>
      <c r="AR29" s="353"/>
      <c r="AS29" s="353"/>
      <c r="AT29" s="354"/>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326"/>
      <c r="C30" s="326"/>
      <c r="D30" s="327"/>
      <c r="E30" s="316" t="s">
        <v>113</v>
      </c>
      <c r="F30" s="317"/>
      <c r="G30" s="317"/>
      <c r="H30" s="317"/>
      <c r="I30" s="317"/>
      <c r="J30" s="285" t="e">
        <f>IF(AND('Mapa final'!#REF!="Baja",'Mapa final'!#REF!="Leve"),CONCATENATE("R",'Mapa final'!#REF!),"")</f>
        <v>#REF!</v>
      </c>
      <c r="K30" s="286"/>
      <c r="L30" s="286" t="str">
        <f>IF(AND('Mapa final'!$L$12="Baja",'Mapa final'!$P$12="Leve"),CONCATENATE("R",'Mapa final'!$A$12),"")</f>
        <v/>
      </c>
      <c r="M30" s="286"/>
      <c r="N30" s="286" t="e">
        <f>IF(AND('Mapa final'!#REF!="Baja",'Mapa final'!#REF!="Leve"),CONCATENATE("R",'Mapa final'!#REF!),"")</f>
        <v>#REF!</v>
      </c>
      <c r="O30" s="287"/>
      <c r="P30" s="295" t="e">
        <f>IF(AND('Mapa final'!#REF!="Baja",'Mapa final'!#REF!="Menor"),CONCATENATE("R",'Mapa final'!#REF!),"")</f>
        <v>#REF!</v>
      </c>
      <c r="Q30" s="295"/>
      <c r="R30" s="295" t="str">
        <f>IF(AND('Mapa final'!$L$12="Baja",'Mapa final'!$P$12="Menor"),CONCATENATE("R",'Mapa final'!$A$12),"")</f>
        <v/>
      </c>
      <c r="S30" s="295"/>
      <c r="T30" s="295" t="e">
        <f>IF(AND('Mapa final'!#REF!="Baja",'Mapa final'!#REF!="Menor"),CONCATENATE("R",'Mapa final'!#REF!),"")</f>
        <v>#REF!</v>
      </c>
      <c r="U30" s="296"/>
      <c r="V30" s="294" t="e">
        <f>IF(AND('Mapa final'!#REF!="Baja",'Mapa final'!#REF!="Moderado"),CONCATENATE("R",'Mapa final'!#REF!),"")</f>
        <v>#REF!</v>
      </c>
      <c r="W30" s="295"/>
      <c r="X30" s="295" t="str">
        <f>IF(AND('Mapa final'!$L$12="Baja",'Mapa final'!$P$12="Moderado"),CONCATENATE("R",'Mapa final'!$A$12),"")</f>
        <v/>
      </c>
      <c r="Y30" s="295"/>
      <c r="Z30" s="295" t="e">
        <f>IF(AND('Mapa final'!#REF!="Baja",'Mapa final'!#REF!="Moderado"),CONCATENATE("R",'Mapa final'!#REF!),"")</f>
        <v>#REF!</v>
      </c>
      <c r="AA30" s="296"/>
      <c r="AB30" s="312" t="e">
        <f>IF(AND('Mapa final'!#REF!="Baja",'Mapa final'!#REF!="Mayor"),CONCATENATE("R",'Mapa final'!#REF!),"")</f>
        <v>#REF!</v>
      </c>
      <c r="AC30" s="313"/>
      <c r="AD30" s="313" t="str">
        <f>IF(AND('Mapa final'!$L$12="Baja",'Mapa final'!$P$12="Mayor"),CONCATENATE("R",'Mapa final'!$A$12),"")</f>
        <v/>
      </c>
      <c r="AE30" s="313"/>
      <c r="AF30" s="313" t="e">
        <f>IF(AND('Mapa final'!#REF!="Baja",'Mapa final'!#REF!="Mayor"),CONCATENATE("R",'Mapa final'!#REF!),"")</f>
        <v>#REF!</v>
      </c>
      <c r="AG30" s="314"/>
      <c r="AH30" s="303" t="e">
        <f>IF(AND('Mapa final'!#REF!="Baja",'Mapa final'!#REF!="Catastrófico"),CONCATENATE("R",'Mapa final'!#REF!),"")</f>
        <v>#REF!</v>
      </c>
      <c r="AI30" s="304"/>
      <c r="AJ30" s="304" t="str">
        <f>IF(AND('Mapa final'!$L$12="Baja",'Mapa final'!$P$12="Catastrófico"),CONCATENATE("R",'Mapa final'!$A$12),"")</f>
        <v/>
      </c>
      <c r="AK30" s="304"/>
      <c r="AL30" s="304" t="e">
        <f>IF(AND('Mapa final'!#REF!="Baja",'Mapa final'!#REF!="Catastrófico"),CONCATENATE("R",'Mapa final'!#REF!),"")</f>
        <v>#REF!</v>
      </c>
      <c r="AM30" s="305"/>
      <c r="AN30" s="75"/>
      <c r="AO30" s="355" t="s">
        <v>81</v>
      </c>
      <c r="AP30" s="356"/>
      <c r="AQ30" s="356"/>
      <c r="AR30" s="356"/>
      <c r="AS30" s="356"/>
      <c r="AT30" s="357"/>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326"/>
      <c r="C31" s="326"/>
      <c r="D31" s="327"/>
      <c r="E31" s="319"/>
      <c r="F31" s="320"/>
      <c r="G31" s="320"/>
      <c r="H31" s="320"/>
      <c r="I31" s="320"/>
      <c r="J31" s="279"/>
      <c r="K31" s="280"/>
      <c r="L31" s="280"/>
      <c r="M31" s="280"/>
      <c r="N31" s="280"/>
      <c r="O31" s="281"/>
      <c r="P31" s="289"/>
      <c r="Q31" s="289"/>
      <c r="R31" s="289"/>
      <c r="S31" s="289"/>
      <c r="T31" s="289"/>
      <c r="U31" s="290"/>
      <c r="V31" s="288"/>
      <c r="W31" s="289"/>
      <c r="X31" s="289"/>
      <c r="Y31" s="289"/>
      <c r="Z31" s="289"/>
      <c r="AA31" s="290"/>
      <c r="AB31" s="306"/>
      <c r="AC31" s="307"/>
      <c r="AD31" s="307"/>
      <c r="AE31" s="307"/>
      <c r="AF31" s="307"/>
      <c r="AG31" s="308"/>
      <c r="AH31" s="297"/>
      <c r="AI31" s="298"/>
      <c r="AJ31" s="298"/>
      <c r="AK31" s="298"/>
      <c r="AL31" s="298"/>
      <c r="AM31" s="299"/>
      <c r="AN31" s="75"/>
      <c r="AO31" s="358"/>
      <c r="AP31" s="359"/>
      <c r="AQ31" s="359"/>
      <c r="AR31" s="359"/>
      <c r="AS31" s="359"/>
      <c r="AT31" s="360"/>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326"/>
      <c r="C32" s="326"/>
      <c r="D32" s="327"/>
      <c r="E32" s="319"/>
      <c r="F32" s="320"/>
      <c r="G32" s="320"/>
      <c r="H32" s="320"/>
      <c r="I32" s="320"/>
      <c r="J32" s="279" t="e">
        <f>IF(AND('Mapa final'!#REF!="Baja",'Mapa final'!#REF!="Leve"),CONCATENATE("R",'Mapa final'!#REF!),"")</f>
        <v>#REF!</v>
      </c>
      <c r="K32" s="280"/>
      <c r="L32" s="280" t="e">
        <f>IF(AND('Mapa final'!#REF!="Baja",'Mapa final'!#REF!="Leve"),CONCATENATE("R",'Mapa final'!#REF!),"")</f>
        <v>#REF!</v>
      </c>
      <c r="M32" s="280"/>
      <c r="N32" s="280" t="e">
        <f>IF(AND('Mapa final'!#REF!="Baja",'Mapa final'!#REF!="Leve"),CONCATENATE("R",'Mapa final'!#REF!),"")</f>
        <v>#REF!</v>
      </c>
      <c r="O32" s="281"/>
      <c r="P32" s="289" t="e">
        <f>IF(AND('Mapa final'!#REF!="Baja",'Mapa final'!#REF!="Menor"),CONCATENATE("R",'Mapa final'!#REF!),"")</f>
        <v>#REF!</v>
      </c>
      <c r="Q32" s="289"/>
      <c r="R32" s="289" t="e">
        <f>IF(AND('Mapa final'!#REF!="Baja",'Mapa final'!#REF!="Menor"),CONCATENATE("R",'Mapa final'!#REF!),"")</f>
        <v>#REF!</v>
      </c>
      <c r="S32" s="289"/>
      <c r="T32" s="289" t="e">
        <f>IF(AND('Mapa final'!#REF!="Baja",'Mapa final'!#REF!="Menor"),CONCATENATE("R",'Mapa final'!#REF!),"")</f>
        <v>#REF!</v>
      </c>
      <c r="U32" s="290"/>
      <c r="V32" s="288" t="e">
        <f>IF(AND('Mapa final'!#REF!="Baja",'Mapa final'!#REF!="Moderado"),CONCATENATE("R",'Mapa final'!#REF!),"")</f>
        <v>#REF!</v>
      </c>
      <c r="W32" s="289"/>
      <c r="X32" s="289" t="e">
        <f>IF(AND('Mapa final'!#REF!="Baja",'Mapa final'!#REF!="Moderado"),CONCATENATE("R",'Mapa final'!#REF!),"")</f>
        <v>#REF!</v>
      </c>
      <c r="Y32" s="289"/>
      <c r="Z32" s="289" t="e">
        <f>IF(AND('Mapa final'!#REF!="Baja",'Mapa final'!#REF!="Moderado"),CONCATENATE("R",'Mapa final'!#REF!),"")</f>
        <v>#REF!</v>
      </c>
      <c r="AA32" s="290"/>
      <c r="AB32" s="306" t="e">
        <f>IF(AND('Mapa final'!#REF!="Baja",'Mapa final'!#REF!="Mayor"),CONCATENATE("R",'Mapa final'!#REF!),"")</f>
        <v>#REF!</v>
      </c>
      <c r="AC32" s="307"/>
      <c r="AD32" s="307" t="e">
        <f>IF(AND('Mapa final'!#REF!="Baja",'Mapa final'!#REF!="Mayor"),CONCATENATE("R",'Mapa final'!#REF!),"")</f>
        <v>#REF!</v>
      </c>
      <c r="AE32" s="307"/>
      <c r="AF32" s="307" t="e">
        <f>IF(AND('Mapa final'!#REF!="Baja",'Mapa final'!#REF!="Mayor"),CONCATENATE("R",'Mapa final'!#REF!),"")</f>
        <v>#REF!</v>
      </c>
      <c r="AG32" s="308"/>
      <c r="AH32" s="297" t="e">
        <f>IF(AND('Mapa final'!#REF!="Baja",'Mapa final'!#REF!="Catastrófico"),CONCATENATE("R",'Mapa final'!#REF!),"")</f>
        <v>#REF!</v>
      </c>
      <c r="AI32" s="298"/>
      <c r="AJ32" s="298" t="e">
        <f>IF(AND('Mapa final'!#REF!="Baja",'Mapa final'!#REF!="Catastrófico"),CONCATENATE("R",'Mapa final'!#REF!),"")</f>
        <v>#REF!</v>
      </c>
      <c r="AK32" s="298"/>
      <c r="AL32" s="298" t="e">
        <f>IF(AND('Mapa final'!#REF!="Baja",'Mapa final'!#REF!="Catastrófico"),CONCATENATE("R",'Mapa final'!#REF!),"")</f>
        <v>#REF!</v>
      </c>
      <c r="AM32" s="299"/>
      <c r="AN32" s="75"/>
      <c r="AO32" s="358"/>
      <c r="AP32" s="359"/>
      <c r="AQ32" s="359"/>
      <c r="AR32" s="359"/>
      <c r="AS32" s="359"/>
      <c r="AT32" s="360"/>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326"/>
      <c r="C33" s="326"/>
      <c r="D33" s="327"/>
      <c r="E33" s="319"/>
      <c r="F33" s="320"/>
      <c r="G33" s="320"/>
      <c r="H33" s="320"/>
      <c r="I33" s="320"/>
      <c r="J33" s="279"/>
      <c r="K33" s="280"/>
      <c r="L33" s="280"/>
      <c r="M33" s="280"/>
      <c r="N33" s="280"/>
      <c r="O33" s="281"/>
      <c r="P33" s="289"/>
      <c r="Q33" s="289"/>
      <c r="R33" s="289"/>
      <c r="S33" s="289"/>
      <c r="T33" s="289"/>
      <c r="U33" s="290"/>
      <c r="V33" s="288"/>
      <c r="W33" s="289"/>
      <c r="X33" s="289"/>
      <c r="Y33" s="289"/>
      <c r="Z33" s="289"/>
      <c r="AA33" s="290"/>
      <c r="AB33" s="306"/>
      <c r="AC33" s="307"/>
      <c r="AD33" s="307"/>
      <c r="AE33" s="307"/>
      <c r="AF33" s="307"/>
      <c r="AG33" s="308"/>
      <c r="AH33" s="297"/>
      <c r="AI33" s="298"/>
      <c r="AJ33" s="298"/>
      <c r="AK33" s="298"/>
      <c r="AL33" s="298"/>
      <c r="AM33" s="299"/>
      <c r="AN33" s="75"/>
      <c r="AO33" s="358"/>
      <c r="AP33" s="359"/>
      <c r="AQ33" s="359"/>
      <c r="AR33" s="359"/>
      <c r="AS33" s="359"/>
      <c r="AT33" s="360"/>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326"/>
      <c r="C34" s="326"/>
      <c r="D34" s="327"/>
      <c r="E34" s="319"/>
      <c r="F34" s="320"/>
      <c r="G34" s="320"/>
      <c r="H34" s="320"/>
      <c r="I34" s="320"/>
      <c r="J34" s="279" t="e">
        <f>IF(AND('Mapa final'!#REF!="Baja",'Mapa final'!#REF!="Leve"),CONCATENATE("R",'Mapa final'!#REF!),"")</f>
        <v>#REF!</v>
      </c>
      <c r="K34" s="280"/>
      <c r="L34" s="280" t="e">
        <f>IF(AND('Mapa final'!#REF!="Baja",'Mapa final'!#REF!="Leve"),CONCATENATE("R",'Mapa final'!#REF!),"")</f>
        <v>#REF!</v>
      </c>
      <c r="M34" s="280"/>
      <c r="N34" s="280" t="e">
        <f>IF(AND('Mapa final'!#REF!="Baja",'Mapa final'!#REF!="Leve"),CONCATENATE("R",'Mapa final'!#REF!),"")</f>
        <v>#REF!</v>
      </c>
      <c r="O34" s="281"/>
      <c r="P34" s="289" t="e">
        <f>IF(AND('Mapa final'!#REF!="Baja",'Mapa final'!#REF!="Menor"),CONCATENATE("R",'Mapa final'!#REF!),"")</f>
        <v>#REF!</v>
      </c>
      <c r="Q34" s="289"/>
      <c r="R34" s="289" t="e">
        <f>IF(AND('Mapa final'!#REF!="Baja",'Mapa final'!#REF!="Menor"),CONCATENATE("R",'Mapa final'!#REF!),"")</f>
        <v>#REF!</v>
      </c>
      <c r="S34" s="289"/>
      <c r="T34" s="289" t="e">
        <f>IF(AND('Mapa final'!#REF!="Baja",'Mapa final'!#REF!="Menor"),CONCATENATE("R",'Mapa final'!#REF!),"")</f>
        <v>#REF!</v>
      </c>
      <c r="U34" s="290"/>
      <c r="V34" s="288" t="e">
        <f>IF(AND('Mapa final'!#REF!="Baja",'Mapa final'!#REF!="Moderado"),CONCATENATE("R",'Mapa final'!#REF!),"")</f>
        <v>#REF!</v>
      </c>
      <c r="W34" s="289"/>
      <c r="X34" s="289" t="e">
        <f>IF(AND('Mapa final'!#REF!="Baja",'Mapa final'!#REF!="Moderado"),CONCATENATE("R",'Mapa final'!#REF!),"")</f>
        <v>#REF!</v>
      </c>
      <c r="Y34" s="289"/>
      <c r="Z34" s="289" t="e">
        <f>IF(AND('Mapa final'!#REF!="Baja",'Mapa final'!#REF!="Moderado"),CONCATENATE("R",'Mapa final'!#REF!),"")</f>
        <v>#REF!</v>
      </c>
      <c r="AA34" s="290"/>
      <c r="AB34" s="306" t="e">
        <f>IF(AND('Mapa final'!#REF!="Baja",'Mapa final'!#REF!="Mayor"),CONCATENATE("R",'Mapa final'!#REF!),"")</f>
        <v>#REF!</v>
      </c>
      <c r="AC34" s="307"/>
      <c r="AD34" s="307" t="e">
        <f>IF(AND('Mapa final'!#REF!="Baja",'Mapa final'!#REF!="Mayor"),CONCATENATE("R",'Mapa final'!#REF!),"")</f>
        <v>#REF!</v>
      </c>
      <c r="AE34" s="307"/>
      <c r="AF34" s="307" t="e">
        <f>IF(AND('Mapa final'!#REF!="Baja",'Mapa final'!#REF!="Mayor"),CONCATENATE("R",'Mapa final'!#REF!),"")</f>
        <v>#REF!</v>
      </c>
      <c r="AG34" s="308"/>
      <c r="AH34" s="297" t="e">
        <f>IF(AND('Mapa final'!#REF!="Baja",'Mapa final'!#REF!="Catastrófico"),CONCATENATE("R",'Mapa final'!#REF!),"")</f>
        <v>#REF!</v>
      </c>
      <c r="AI34" s="298"/>
      <c r="AJ34" s="298" t="e">
        <f>IF(AND('Mapa final'!#REF!="Baja",'Mapa final'!#REF!="Catastrófico"),CONCATENATE("R",'Mapa final'!#REF!),"")</f>
        <v>#REF!</v>
      </c>
      <c r="AK34" s="298"/>
      <c r="AL34" s="298" t="e">
        <f>IF(AND('Mapa final'!#REF!="Baja",'Mapa final'!#REF!="Catastrófico"),CONCATENATE("R",'Mapa final'!#REF!),"")</f>
        <v>#REF!</v>
      </c>
      <c r="AM34" s="299"/>
      <c r="AN34" s="75"/>
      <c r="AO34" s="358"/>
      <c r="AP34" s="359"/>
      <c r="AQ34" s="359"/>
      <c r="AR34" s="359"/>
      <c r="AS34" s="359"/>
      <c r="AT34" s="360"/>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326"/>
      <c r="C35" s="326"/>
      <c r="D35" s="327"/>
      <c r="E35" s="319"/>
      <c r="F35" s="320"/>
      <c r="G35" s="320"/>
      <c r="H35" s="320"/>
      <c r="I35" s="320"/>
      <c r="J35" s="279"/>
      <c r="K35" s="280"/>
      <c r="L35" s="280"/>
      <c r="M35" s="280"/>
      <c r="N35" s="280"/>
      <c r="O35" s="281"/>
      <c r="P35" s="289"/>
      <c r="Q35" s="289"/>
      <c r="R35" s="289"/>
      <c r="S35" s="289"/>
      <c r="T35" s="289"/>
      <c r="U35" s="290"/>
      <c r="V35" s="288"/>
      <c r="W35" s="289"/>
      <c r="X35" s="289"/>
      <c r="Y35" s="289"/>
      <c r="Z35" s="289"/>
      <c r="AA35" s="290"/>
      <c r="AB35" s="306"/>
      <c r="AC35" s="307"/>
      <c r="AD35" s="307"/>
      <c r="AE35" s="307"/>
      <c r="AF35" s="307"/>
      <c r="AG35" s="308"/>
      <c r="AH35" s="297"/>
      <c r="AI35" s="298"/>
      <c r="AJ35" s="298"/>
      <c r="AK35" s="298"/>
      <c r="AL35" s="298"/>
      <c r="AM35" s="299"/>
      <c r="AN35" s="75"/>
      <c r="AO35" s="358"/>
      <c r="AP35" s="359"/>
      <c r="AQ35" s="359"/>
      <c r="AR35" s="359"/>
      <c r="AS35" s="359"/>
      <c r="AT35" s="360"/>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326"/>
      <c r="C36" s="326"/>
      <c r="D36" s="327"/>
      <c r="E36" s="319"/>
      <c r="F36" s="320"/>
      <c r="G36" s="320"/>
      <c r="H36" s="320"/>
      <c r="I36" s="320"/>
      <c r="J36" s="279" t="e">
        <f>IF(AND('Mapa final'!#REF!="Baja",'Mapa final'!#REF!="Leve"),CONCATENATE("R",'Mapa final'!#REF!),"")</f>
        <v>#REF!</v>
      </c>
      <c r="K36" s="280"/>
      <c r="L36" s="280" t="str">
        <f>IF(AND('Mapa final'!$L$22="Baja",'Mapa final'!$P$22="Leve"),CONCATENATE("R",'Mapa final'!$A$22),"")</f>
        <v/>
      </c>
      <c r="M36" s="280"/>
      <c r="N36" s="280" t="str">
        <f>IF(AND('Mapa final'!$L$24="Baja",'Mapa final'!$P$24="Leve"),CONCATENATE("R",'Mapa final'!$A$24),"")</f>
        <v/>
      </c>
      <c r="O36" s="281"/>
      <c r="P36" s="289" t="e">
        <f>IF(AND('Mapa final'!#REF!="Baja",'Mapa final'!#REF!="Menor"),CONCATENATE("R",'Mapa final'!#REF!),"")</f>
        <v>#REF!</v>
      </c>
      <c r="Q36" s="289"/>
      <c r="R36" s="289" t="str">
        <f>IF(AND('Mapa final'!$L$22="Baja",'Mapa final'!$P$22="Menor"),CONCATENATE("R",'Mapa final'!$A$22),"")</f>
        <v/>
      </c>
      <c r="S36" s="289"/>
      <c r="T36" s="289" t="str">
        <f>IF(AND('Mapa final'!$L$24="Baja",'Mapa final'!$P$24="Menor"),CONCATENATE("R",'Mapa final'!$A$24),"")</f>
        <v/>
      </c>
      <c r="U36" s="290"/>
      <c r="V36" s="288" t="e">
        <f>IF(AND('Mapa final'!#REF!="Baja",'Mapa final'!#REF!="Moderado"),CONCATENATE("R",'Mapa final'!#REF!),"")</f>
        <v>#REF!</v>
      </c>
      <c r="W36" s="289"/>
      <c r="X36" s="289" t="str">
        <f>IF(AND('Mapa final'!$L$22="Baja",'Mapa final'!$P$22="Moderado"),CONCATENATE("R",'Mapa final'!$A$22),"")</f>
        <v/>
      </c>
      <c r="Y36" s="289"/>
      <c r="Z36" s="289" t="str">
        <f>IF(AND('Mapa final'!$L$24="Baja",'Mapa final'!$P$24="Moderado"),CONCATENATE("R",'Mapa final'!$A$24),"")</f>
        <v/>
      </c>
      <c r="AA36" s="290"/>
      <c r="AB36" s="306" t="e">
        <f>IF(AND('Mapa final'!#REF!="Baja",'Mapa final'!#REF!="Mayor"),CONCATENATE("R",'Mapa final'!#REF!),"")</f>
        <v>#REF!</v>
      </c>
      <c r="AC36" s="307"/>
      <c r="AD36" s="307" t="str">
        <f>IF(AND('Mapa final'!$L$22="Baja",'Mapa final'!$P$22="Mayor"),CONCATENATE("R",'Mapa final'!$A$22),"")</f>
        <v/>
      </c>
      <c r="AE36" s="307"/>
      <c r="AF36" s="307" t="str">
        <f>IF(AND('Mapa final'!$L$24="Baja",'Mapa final'!$P$24="Mayor"),CONCATENATE("R",'Mapa final'!$A$24),"")</f>
        <v/>
      </c>
      <c r="AG36" s="308"/>
      <c r="AH36" s="297" t="e">
        <f>IF(AND('Mapa final'!#REF!="Baja",'Mapa final'!#REF!="Catastrófico"),CONCATENATE("R",'Mapa final'!#REF!),"")</f>
        <v>#REF!</v>
      </c>
      <c r="AI36" s="298"/>
      <c r="AJ36" s="298" t="str">
        <f>IF(AND('Mapa final'!$L$22="Baja",'Mapa final'!$P$22="Catastrófico"),CONCATENATE("R",'Mapa final'!$A$22),"")</f>
        <v/>
      </c>
      <c r="AK36" s="298"/>
      <c r="AL36" s="298" t="str">
        <f>IF(AND('Mapa final'!$L$24="Baja",'Mapa final'!$P$24="Catastrófico"),CONCATENATE("R",'Mapa final'!$A$24),"")</f>
        <v/>
      </c>
      <c r="AM36" s="299"/>
      <c r="AN36" s="75"/>
      <c r="AO36" s="358"/>
      <c r="AP36" s="359"/>
      <c r="AQ36" s="359"/>
      <c r="AR36" s="359"/>
      <c r="AS36" s="359"/>
      <c r="AT36" s="360"/>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326"/>
      <c r="C37" s="326"/>
      <c r="D37" s="327"/>
      <c r="E37" s="322"/>
      <c r="F37" s="323"/>
      <c r="G37" s="323"/>
      <c r="H37" s="323"/>
      <c r="I37" s="323"/>
      <c r="J37" s="282"/>
      <c r="K37" s="283"/>
      <c r="L37" s="283"/>
      <c r="M37" s="283"/>
      <c r="N37" s="283"/>
      <c r="O37" s="284"/>
      <c r="P37" s="292"/>
      <c r="Q37" s="292"/>
      <c r="R37" s="292"/>
      <c r="S37" s="292"/>
      <c r="T37" s="292"/>
      <c r="U37" s="293"/>
      <c r="V37" s="291"/>
      <c r="W37" s="292"/>
      <c r="X37" s="292"/>
      <c r="Y37" s="292"/>
      <c r="Z37" s="292"/>
      <c r="AA37" s="293"/>
      <c r="AB37" s="309"/>
      <c r="AC37" s="310"/>
      <c r="AD37" s="310"/>
      <c r="AE37" s="310"/>
      <c r="AF37" s="310"/>
      <c r="AG37" s="311"/>
      <c r="AH37" s="300"/>
      <c r="AI37" s="301"/>
      <c r="AJ37" s="301"/>
      <c r="AK37" s="301"/>
      <c r="AL37" s="301"/>
      <c r="AM37" s="302"/>
      <c r="AN37" s="75"/>
      <c r="AO37" s="361"/>
      <c r="AP37" s="362"/>
      <c r="AQ37" s="362"/>
      <c r="AR37" s="362"/>
      <c r="AS37" s="362"/>
      <c r="AT37" s="363"/>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326"/>
      <c r="C38" s="326"/>
      <c r="D38" s="327"/>
      <c r="E38" s="316" t="s">
        <v>112</v>
      </c>
      <c r="F38" s="317"/>
      <c r="G38" s="317"/>
      <c r="H38" s="317"/>
      <c r="I38" s="318"/>
      <c r="J38" s="285" t="e">
        <f>IF(AND('Mapa final'!#REF!="Muy Baja",'Mapa final'!#REF!="Leve"),CONCATENATE("R",'Mapa final'!#REF!),"")</f>
        <v>#REF!</v>
      </c>
      <c r="K38" s="286"/>
      <c r="L38" s="286" t="str">
        <f>IF(AND('Mapa final'!$L$12="Muy Baja",'Mapa final'!$P$12="Leve"),CONCATENATE("R",'Mapa final'!$A$12),"")</f>
        <v/>
      </c>
      <c r="M38" s="286"/>
      <c r="N38" s="286" t="e">
        <f>IF(AND('Mapa final'!#REF!="Muy Baja",'Mapa final'!#REF!="Leve"),CONCATENATE("R",'Mapa final'!#REF!),"")</f>
        <v>#REF!</v>
      </c>
      <c r="O38" s="287"/>
      <c r="P38" s="285" t="e">
        <f>IF(AND('Mapa final'!#REF!="Muy Baja",'Mapa final'!#REF!="Menor"),CONCATENATE("R",'Mapa final'!#REF!),"")</f>
        <v>#REF!</v>
      </c>
      <c r="Q38" s="286"/>
      <c r="R38" s="286" t="str">
        <f>IF(AND('Mapa final'!$L$12="Muy Baja",'Mapa final'!$P$12="Menor"),CONCATENATE("R",'Mapa final'!$A$12),"")</f>
        <v/>
      </c>
      <c r="S38" s="286"/>
      <c r="T38" s="286" t="e">
        <f>IF(AND('Mapa final'!#REF!="Muy Baja",'Mapa final'!#REF!="Menor"),CONCATENATE("R",'Mapa final'!#REF!),"")</f>
        <v>#REF!</v>
      </c>
      <c r="U38" s="287"/>
      <c r="V38" s="294" t="e">
        <f>IF(AND('Mapa final'!#REF!="Muy Baja",'Mapa final'!#REF!="Moderado"),CONCATENATE("R",'Mapa final'!#REF!),"")</f>
        <v>#REF!</v>
      </c>
      <c r="W38" s="295"/>
      <c r="X38" s="295" t="str">
        <f>IF(AND('Mapa final'!$L$12="Muy Baja",'Mapa final'!$P$12="Moderado"),CONCATENATE("R",'Mapa final'!$A$12),"")</f>
        <v/>
      </c>
      <c r="Y38" s="295"/>
      <c r="Z38" s="295" t="e">
        <f>IF(AND('Mapa final'!#REF!="Muy Baja",'Mapa final'!#REF!="Moderado"),CONCATENATE("R",'Mapa final'!#REF!),"")</f>
        <v>#REF!</v>
      </c>
      <c r="AA38" s="296"/>
      <c r="AB38" s="312" t="e">
        <f>IF(AND('Mapa final'!#REF!="Muy Baja",'Mapa final'!#REF!="Mayor"),CONCATENATE("R",'Mapa final'!#REF!),"")</f>
        <v>#REF!</v>
      </c>
      <c r="AC38" s="313"/>
      <c r="AD38" s="313" t="str">
        <f>IF(AND('Mapa final'!$L$12="Muy Baja",'Mapa final'!$P$12="Mayor"),CONCATENATE("R",'Mapa final'!$A$12),"")</f>
        <v/>
      </c>
      <c r="AE38" s="313"/>
      <c r="AF38" s="313" t="e">
        <f>IF(AND('Mapa final'!#REF!="Muy Baja",'Mapa final'!#REF!="Mayor"),CONCATENATE("R",'Mapa final'!#REF!),"")</f>
        <v>#REF!</v>
      </c>
      <c r="AG38" s="314"/>
      <c r="AH38" s="303" t="e">
        <f>IF(AND('Mapa final'!#REF!="Muy Baja",'Mapa final'!#REF!="Catastrófico"),CONCATENATE("R",'Mapa final'!#REF!),"")</f>
        <v>#REF!</v>
      </c>
      <c r="AI38" s="304"/>
      <c r="AJ38" s="304" t="str">
        <f>IF(AND('Mapa final'!$L$12="Muy Baja",'Mapa final'!$P$12="Catastrófico"),CONCATENATE("R",'Mapa final'!$A$12),"")</f>
        <v/>
      </c>
      <c r="AK38" s="304"/>
      <c r="AL38" s="304" t="e">
        <f>IF(AND('Mapa final'!#REF!="Muy Baja",'Mapa final'!#REF!="Catastrófico"),CONCATENATE("R",'Mapa final'!#REF!),"")</f>
        <v>#REF!</v>
      </c>
      <c r="AM38" s="305"/>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326"/>
      <c r="C39" s="326"/>
      <c r="D39" s="327"/>
      <c r="E39" s="319"/>
      <c r="F39" s="320"/>
      <c r="G39" s="320"/>
      <c r="H39" s="320"/>
      <c r="I39" s="321"/>
      <c r="J39" s="279"/>
      <c r="K39" s="280"/>
      <c r="L39" s="280"/>
      <c r="M39" s="280"/>
      <c r="N39" s="280"/>
      <c r="O39" s="281"/>
      <c r="P39" s="279"/>
      <c r="Q39" s="280"/>
      <c r="R39" s="280"/>
      <c r="S39" s="280"/>
      <c r="T39" s="280"/>
      <c r="U39" s="281"/>
      <c r="V39" s="288"/>
      <c r="W39" s="289"/>
      <c r="X39" s="289"/>
      <c r="Y39" s="289"/>
      <c r="Z39" s="289"/>
      <c r="AA39" s="290"/>
      <c r="AB39" s="306"/>
      <c r="AC39" s="307"/>
      <c r="AD39" s="307"/>
      <c r="AE39" s="307"/>
      <c r="AF39" s="307"/>
      <c r="AG39" s="308"/>
      <c r="AH39" s="297"/>
      <c r="AI39" s="298"/>
      <c r="AJ39" s="298"/>
      <c r="AK39" s="298"/>
      <c r="AL39" s="298"/>
      <c r="AM39" s="299"/>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326"/>
      <c r="C40" s="326"/>
      <c r="D40" s="327"/>
      <c r="E40" s="319"/>
      <c r="F40" s="320"/>
      <c r="G40" s="320"/>
      <c r="H40" s="320"/>
      <c r="I40" s="321"/>
      <c r="J40" s="279" t="e">
        <f>IF(AND('Mapa final'!#REF!="Muy Baja",'Mapa final'!#REF!="Leve"),CONCATENATE("R",'Mapa final'!#REF!),"")</f>
        <v>#REF!</v>
      </c>
      <c r="K40" s="280"/>
      <c r="L40" s="280" t="e">
        <f>IF(AND('Mapa final'!#REF!="Muy Baja",'Mapa final'!#REF!="Leve"),CONCATENATE("R",'Mapa final'!#REF!),"")</f>
        <v>#REF!</v>
      </c>
      <c r="M40" s="280"/>
      <c r="N40" s="280" t="e">
        <f>IF(AND('Mapa final'!#REF!="Muy Baja",'Mapa final'!#REF!="Leve"),CONCATENATE("R",'Mapa final'!#REF!),"")</f>
        <v>#REF!</v>
      </c>
      <c r="O40" s="281"/>
      <c r="P40" s="279" t="e">
        <f>IF(AND('Mapa final'!#REF!="Muy Baja",'Mapa final'!#REF!="Menor"),CONCATENATE("R",'Mapa final'!#REF!),"")</f>
        <v>#REF!</v>
      </c>
      <c r="Q40" s="280"/>
      <c r="R40" s="280" t="e">
        <f>IF(AND('Mapa final'!#REF!="Muy Baja",'Mapa final'!#REF!="Menor"),CONCATENATE("R",'Mapa final'!#REF!),"")</f>
        <v>#REF!</v>
      </c>
      <c r="S40" s="280"/>
      <c r="T40" s="280" t="e">
        <f>IF(AND('Mapa final'!#REF!="Muy Baja",'Mapa final'!#REF!="Menor"),CONCATENATE("R",'Mapa final'!#REF!),"")</f>
        <v>#REF!</v>
      </c>
      <c r="U40" s="281"/>
      <c r="V40" s="288" t="e">
        <f>IF(AND('Mapa final'!#REF!="Muy Baja",'Mapa final'!#REF!="Moderado"),CONCATENATE("R",'Mapa final'!#REF!),"")</f>
        <v>#REF!</v>
      </c>
      <c r="W40" s="289"/>
      <c r="X40" s="289" t="e">
        <f>IF(AND('Mapa final'!#REF!="Muy Baja",'Mapa final'!#REF!="Moderado"),CONCATENATE("R",'Mapa final'!#REF!),"")</f>
        <v>#REF!</v>
      </c>
      <c r="Y40" s="289"/>
      <c r="Z40" s="289" t="e">
        <f>IF(AND('Mapa final'!#REF!="Muy Baja",'Mapa final'!#REF!="Moderado"),CONCATENATE("R",'Mapa final'!#REF!),"")</f>
        <v>#REF!</v>
      </c>
      <c r="AA40" s="290"/>
      <c r="AB40" s="306" t="e">
        <f>IF(AND('Mapa final'!#REF!="Muy Baja",'Mapa final'!#REF!="Mayor"),CONCATENATE("R",'Mapa final'!#REF!),"")</f>
        <v>#REF!</v>
      </c>
      <c r="AC40" s="307"/>
      <c r="AD40" s="307" t="e">
        <f>IF(AND('Mapa final'!#REF!="Muy Baja",'Mapa final'!#REF!="Mayor"),CONCATENATE("R",'Mapa final'!#REF!),"")</f>
        <v>#REF!</v>
      </c>
      <c r="AE40" s="307"/>
      <c r="AF40" s="307" t="e">
        <f>IF(AND('Mapa final'!#REF!="Muy Baja",'Mapa final'!#REF!="Mayor"),CONCATENATE("R",'Mapa final'!#REF!),"")</f>
        <v>#REF!</v>
      </c>
      <c r="AG40" s="308"/>
      <c r="AH40" s="297" t="e">
        <f>IF(AND('Mapa final'!#REF!="Muy Baja",'Mapa final'!#REF!="Catastrófico"),CONCATENATE("R",'Mapa final'!#REF!),"")</f>
        <v>#REF!</v>
      </c>
      <c r="AI40" s="298"/>
      <c r="AJ40" s="298" t="e">
        <f>IF(AND('Mapa final'!#REF!="Muy Baja",'Mapa final'!#REF!="Catastrófico"),CONCATENATE("R",'Mapa final'!#REF!),"")</f>
        <v>#REF!</v>
      </c>
      <c r="AK40" s="298"/>
      <c r="AL40" s="298" t="e">
        <f>IF(AND('Mapa final'!#REF!="Muy Baja",'Mapa final'!#REF!="Catastrófico"),CONCATENATE("R",'Mapa final'!#REF!),"")</f>
        <v>#REF!</v>
      </c>
      <c r="AM40" s="299"/>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326"/>
      <c r="C41" s="326"/>
      <c r="D41" s="327"/>
      <c r="E41" s="319"/>
      <c r="F41" s="320"/>
      <c r="G41" s="320"/>
      <c r="H41" s="320"/>
      <c r="I41" s="321"/>
      <c r="J41" s="279"/>
      <c r="K41" s="280"/>
      <c r="L41" s="280"/>
      <c r="M41" s="280"/>
      <c r="N41" s="280"/>
      <c r="O41" s="281"/>
      <c r="P41" s="279"/>
      <c r="Q41" s="280"/>
      <c r="R41" s="280"/>
      <c r="S41" s="280"/>
      <c r="T41" s="280"/>
      <c r="U41" s="281"/>
      <c r="V41" s="288"/>
      <c r="W41" s="289"/>
      <c r="X41" s="289"/>
      <c r="Y41" s="289"/>
      <c r="Z41" s="289"/>
      <c r="AA41" s="290"/>
      <c r="AB41" s="306"/>
      <c r="AC41" s="307"/>
      <c r="AD41" s="307"/>
      <c r="AE41" s="307"/>
      <c r="AF41" s="307"/>
      <c r="AG41" s="308"/>
      <c r="AH41" s="297"/>
      <c r="AI41" s="298"/>
      <c r="AJ41" s="298"/>
      <c r="AK41" s="298"/>
      <c r="AL41" s="298"/>
      <c r="AM41" s="299"/>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326"/>
      <c r="C42" s="326"/>
      <c r="D42" s="327"/>
      <c r="E42" s="319"/>
      <c r="F42" s="320"/>
      <c r="G42" s="320"/>
      <c r="H42" s="320"/>
      <c r="I42" s="321"/>
      <c r="J42" s="279" t="e">
        <f>IF(AND('Mapa final'!#REF!="Muy Baja",'Mapa final'!#REF!="Leve"),CONCATENATE("R",'Mapa final'!#REF!),"")</f>
        <v>#REF!</v>
      </c>
      <c r="K42" s="280"/>
      <c r="L42" s="280" t="e">
        <f>IF(AND('Mapa final'!#REF!="Muy Baja",'Mapa final'!#REF!="Leve"),CONCATENATE("R",'Mapa final'!#REF!),"")</f>
        <v>#REF!</v>
      </c>
      <c r="M42" s="280"/>
      <c r="N42" s="280" t="e">
        <f>IF(AND('Mapa final'!#REF!="Muy Baja",'Mapa final'!#REF!="Leve"),CONCATENATE("R",'Mapa final'!#REF!),"")</f>
        <v>#REF!</v>
      </c>
      <c r="O42" s="281"/>
      <c r="P42" s="279" t="e">
        <f>IF(AND('Mapa final'!#REF!="Muy Baja",'Mapa final'!#REF!="Menor"),CONCATENATE("R",'Mapa final'!#REF!),"")</f>
        <v>#REF!</v>
      </c>
      <c r="Q42" s="280"/>
      <c r="R42" s="280" t="e">
        <f>IF(AND('Mapa final'!#REF!="Muy Baja",'Mapa final'!#REF!="Menor"),CONCATENATE("R",'Mapa final'!#REF!),"")</f>
        <v>#REF!</v>
      </c>
      <c r="S42" s="280"/>
      <c r="T42" s="280" t="e">
        <f>IF(AND('Mapa final'!#REF!="Muy Baja",'Mapa final'!#REF!="Menor"),CONCATENATE("R",'Mapa final'!#REF!),"")</f>
        <v>#REF!</v>
      </c>
      <c r="U42" s="281"/>
      <c r="V42" s="288" t="e">
        <f>IF(AND('Mapa final'!#REF!="Muy Baja",'Mapa final'!#REF!="Moderado"),CONCATENATE("R",'Mapa final'!#REF!),"")</f>
        <v>#REF!</v>
      </c>
      <c r="W42" s="289"/>
      <c r="X42" s="289" t="e">
        <f>IF(AND('Mapa final'!#REF!="Muy Baja",'Mapa final'!#REF!="Moderado"),CONCATENATE("R",'Mapa final'!#REF!),"")</f>
        <v>#REF!</v>
      </c>
      <c r="Y42" s="289"/>
      <c r="Z42" s="289" t="e">
        <f>IF(AND('Mapa final'!#REF!="Muy Baja",'Mapa final'!#REF!="Moderado"),CONCATENATE("R",'Mapa final'!#REF!),"")</f>
        <v>#REF!</v>
      </c>
      <c r="AA42" s="290"/>
      <c r="AB42" s="306" t="e">
        <f>IF(AND('Mapa final'!#REF!="Muy Baja",'Mapa final'!#REF!="Mayor"),CONCATENATE("R",'Mapa final'!#REF!),"")</f>
        <v>#REF!</v>
      </c>
      <c r="AC42" s="307"/>
      <c r="AD42" s="307" t="e">
        <f>IF(AND('Mapa final'!#REF!="Muy Baja",'Mapa final'!#REF!="Mayor"),CONCATENATE("R",'Mapa final'!#REF!),"")</f>
        <v>#REF!</v>
      </c>
      <c r="AE42" s="307"/>
      <c r="AF42" s="307" t="e">
        <f>IF(AND('Mapa final'!#REF!="Muy Baja",'Mapa final'!#REF!="Mayor"),CONCATENATE("R",'Mapa final'!#REF!),"")</f>
        <v>#REF!</v>
      </c>
      <c r="AG42" s="308"/>
      <c r="AH42" s="297" t="e">
        <f>IF(AND('Mapa final'!#REF!="Muy Baja",'Mapa final'!#REF!="Catastrófico"),CONCATENATE("R",'Mapa final'!#REF!),"")</f>
        <v>#REF!</v>
      </c>
      <c r="AI42" s="298"/>
      <c r="AJ42" s="298" t="e">
        <f>IF(AND('Mapa final'!#REF!="Muy Baja",'Mapa final'!#REF!="Catastrófico"),CONCATENATE("R",'Mapa final'!#REF!),"")</f>
        <v>#REF!</v>
      </c>
      <c r="AK42" s="298"/>
      <c r="AL42" s="298" t="e">
        <f>IF(AND('Mapa final'!#REF!="Muy Baja",'Mapa final'!#REF!="Catastrófico"),CONCATENATE("R",'Mapa final'!#REF!),"")</f>
        <v>#REF!</v>
      </c>
      <c r="AM42" s="299"/>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326"/>
      <c r="C43" s="326"/>
      <c r="D43" s="327"/>
      <c r="E43" s="319"/>
      <c r="F43" s="320"/>
      <c r="G43" s="320"/>
      <c r="H43" s="320"/>
      <c r="I43" s="321"/>
      <c r="J43" s="279"/>
      <c r="K43" s="280"/>
      <c r="L43" s="280"/>
      <c r="M43" s="280"/>
      <c r="N43" s="280"/>
      <c r="O43" s="281"/>
      <c r="P43" s="279"/>
      <c r="Q43" s="280"/>
      <c r="R43" s="280"/>
      <c r="S43" s="280"/>
      <c r="T43" s="280"/>
      <c r="U43" s="281"/>
      <c r="V43" s="288"/>
      <c r="W43" s="289"/>
      <c r="X43" s="289"/>
      <c r="Y43" s="289"/>
      <c r="Z43" s="289"/>
      <c r="AA43" s="290"/>
      <c r="AB43" s="306"/>
      <c r="AC43" s="307"/>
      <c r="AD43" s="307"/>
      <c r="AE43" s="307"/>
      <c r="AF43" s="307"/>
      <c r="AG43" s="308"/>
      <c r="AH43" s="297"/>
      <c r="AI43" s="298"/>
      <c r="AJ43" s="298"/>
      <c r="AK43" s="298"/>
      <c r="AL43" s="298"/>
      <c r="AM43" s="299"/>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326"/>
      <c r="C44" s="326"/>
      <c r="D44" s="327"/>
      <c r="E44" s="319"/>
      <c r="F44" s="320"/>
      <c r="G44" s="320"/>
      <c r="H44" s="320"/>
      <c r="I44" s="321"/>
      <c r="J44" s="279" t="e">
        <f>IF(AND('Mapa final'!#REF!="Muy Baja",'Mapa final'!#REF!="Leve"),CONCATENATE("R",'Mapa final'!#REF!),"")</f>
        <v>#REF!</v>
      </c>
      <c r="K44" s="280"/>
      <c r="L44" s="280" t="str">
        <f>IF(AND('Mapa final'!$L$22="Muy Baja",'Mapa final'!$P$22="Leve"),CONCATENATE("R",'Mapa final'!$A$22),"")</f>
        <v/>
      </c>
      <c r="M44" s="280"/>
      <c r="N44" s="280" t="str">
        <f>IF(AND('Mapa final'!$L$24="Muy Baja",'Mapa final'!$P$24="Leve"),CONCATENATE("R",'Mapa final'!$A$24),"")</f>
        <v/>
      </c>
      <c r="O44" s="281"/>
      <c r="P44" s="279" t="e">
        <f>IF(AND('Mapa final'!#REF!="Muy Baja",'Mapa final'!#REF!="Menor"),CONCATENATE("R",'Mapa final'!#REF!),"")</f>
        <v>#REF!</v>
      </c>
      <c r="Q44" s="280"/>
      <c r="R44" s="280" t="str">
        <f>IF(AND('Mapa final'!$L$22="Muy Baja",'Mapa final'!$P$22="Menor"),CONCATENATE("R",'Mapa final'!$A$22),"")</f>
        <v/>
      </c>
      <c r="S44" s="280"/>
      <c r="T44" s="280" t="str">
        <f>IF(AND('Mapa final'!$L$24="Muy Baja",'Mapa final'!$P$24="Menor"),CONCATENATE("R",'Mapa final'!$A$24),"")</f>
        <v/>
      </c>
      <c r="U44" s="281"/>
      <c r="V44" s="288" t="e">
        <f>IF(AND('Mapa final'!#REF!="Muy Baja",'Mapa final'!#REF!="Moderado"),CONCATENATE("R",'Mapa final'!#REF!),"")</f>
        <v>#REF!</v>
      </c>
      <c r="W44" s="289"/>
      <c r="X44" s="289" t="str">
        <f>IF(AND('Mapa final'!$L$22="Muy Baja",'Mapa final'!$P$22="Moderado"),CONCATENATE("R",'Mapa final'!$A$22),"")</f>
        <v/>
      </c>
      <c r="Y44" s="289"/>
      <c r="Z44" s="289" t="str">
        <f>IF(AND('Mapa final'!$L$24="Muy Baja",'Mapa final'!$P$24="Moderado"),CONCATENATE("R",'Mapa final'!$A$24),"")</f>
        <v/>
      </c>
      <c r="AA44" s="290"/>
      <c r="AB44" s="306" t="e">
        <f>IF(AND('Mapa final'!#REF!="Muy Baja",'Mapa final'!#REF!="Mayor"),CONCATENATE("R",'Mapa final'!#REF!),"")</f>
        <v>#REF!</v>
      </c>
      <c r="AC44" s="307"/>
      <c r="AD44" s="307" t="str">
        <f>IF(AND('Mapa final'!$L$22="Muy Baja",'Mapa final'!$P$22="Mayor"),CONCATENATE("R",'Mapa final'!$A$22),"")</f>
        <v/>
      </c>
      <c r="AE44" s="307"/>
      <c r="AF44" s="307" t="str">
        <f>IF(AND('Mapa final'!$L$24="Muy Baja",'Mapa final'!$P$24="Mayor"),CONCATENATE("R",'Mapa final'!$A$24),"")</f>
        <v/>
      </c>
      <c r="AG44" s="308"/>
      <c r="AH44" s="297" t="e">
        <f>IF(AND('Mapa final'!#REF!="Muy Baja",'Mapa final'!#REF!="Catastrófico"),CONCATENATE("R",'Mapa final'!#REF!),"")</f>
        <v>#REF!</v>
      </c>
      <c r="AI44" s="298"/>
      <c r="AJ44" s="298" t="str">
        <f>IF(AND('Mapa final'!$L$22="Muy Baja",'Mapa final'!$P$22="Catastrófico"),CONCATENATE("R",'Mapa final'!$A$22),"")</f>
        <v/>
      </c>
      <c r="AK44" s="298"/>
      <c r="AL44" s="298" t="str">
        <f>IF(AND('Mapa final'!$L$24="Muy Baja",'Mapa final'!$P$24="Catastrófico"),CONCATENATE("R",'Mapa final'!$A$24),"")</f>
        <v/>
      </c>
      <c r="AM44" s="299"/>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326"/>
      <c r="C45" s="326"/>
      <c r="D45" s="327"/>
      <c r="E45" s="322"/>
      <c r="F45" s="323"/>
      <c r="G45" s="323"/>
      <c r="H45" s="323"/>
      <c r="I45" s="324"/>
      <c r="J45" s="282"/>
      <c r="K45" s="283"/>
      <c r="L45" s="283"/>
      <c r="M45" s="283"/>
      <c r="N45" s="283"/>
      <c r="O45" s="284"/>
      <c r="P45" s="282"/>
      <c r="Q45" s="283"/>
      <c r="R45" s="283"/>
      <c r="S45" s="283"/>
      <c r="T45" s="283"/>
      <c r="U45" s="284"/>
      <c r="V45" s="291"/>
      <c r="W45" s="292"/>
      <c r="X45" s="292"/>
      <c r="Y45" s="292"/>
      <c r="Z45" s="292"/>
      <c r="AA45" s="293"/>
      <c r="AB45" s="309"/>
      <c r="AC45" s="310"/>
      <c r="AD45" s="310"/>
      <c r="AE45" s="310"/>
      <c r="AF45" s="310"/>
      <c r="AG45" s="311"/>
      <c r="AH45" s="300"/>
      <c r="AI45" s="301"/>
      <c r="AJ45" s="301"/>
      <c r="AK45" s="301"/>
      <c r="AL45" s="301"/>
      <c r="AM45" s="302"/>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316" t="s">
        <v>111</v>
      </c>
      <c r="K46" s="317"/>
      <c r="L46" s="317"/>
      <c r="M46" s="317"/>
      <c r="N46" s="317"/>
      <c r="O46" s="318"/>
      <c r="P46" s="316" t="s">
        <v>110</v>
      </c>
      <c r="Q46" s="317"/>
      <c r="R46" s="317"/>
      <c r="S46" s="317"/>
      <c r="T46" s="317"/>
      <c r="U46" s="318"/>
      <c r="V46" s="316" t="s">
        <v>109</v>
      </c>
      <c r="W46" s="317"/>
      <c r="X46" s="317"/>
      <c r="Y46" s="317"/>
      <c r="Z46" s="317"/>
      <c r="AA46" s="318"/>
      <c r="AB46" s="316" t="s">
        <v>108</v>
      </c>
      <c r="AC46" s="325"/>
      <c r="AD46" s="317"/>
      <c r="AE46" s="317"/>
      <c r="AF46" s="317"/>
      <c r="AG46" s="318"/>
      <c r="AH46" s="316" t="s">
        <v>107</v>
      </c>
      <c r="AI46" s="317"/>
      <c r="AJ46" s="317"/>
      <c r="AK46" s="317"/>
      <c r="AL46" s="317"/>
      <c r="AM46" s="318"/>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319"/>
      <c r="K47" s="320"/>
      <c r="L47" s="320"/>
      <c r="M47" s="320"/>
      <c r="N47" s="320"/>
      <c r="O47" s="321"/>
      <c r="P47" s="319"/>
      <c r="Q47" s="320"/>
      <c r="R47" s="320"/>
      <c r="S47" s="320"/>
      <c r="T47" s="320"/>
      <c r="U47" s="321"/>
      <c r="V47" s="319"/>
      <c r="W47" s="320"/>
      <c r="X47" s="320"/>
      <c r="Y47" s="320"/>
      <c r="Z47" s="320"/>
      <c r="AA47" s="321"/>
      <c r="AB47" s="319"/>
      <c r="AC47" s="320"/>
      <c r="AD47" s="320"/>
      <c r="AE47" s="320"/>
      <c r="AF47" s="320"/>
      <c r="AG47" s="321"/>
      <c r="AH47" s="319"/>
      <c r="AI47" s="320"/>
      <c r="AJ47" s="320"/>
      <c r="AK47" s="320"/>
      <c r="AL47" s="320"/>
      <c r="AM47" s="321"/>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319"/>
      <c r="K48" s="320"/>
      <c r="L48" s="320"/>
      <c r="M48" s="320"/>
      <c r="N48" s="320"/>
      <c r="O48" s="321"/>
      <c r="P48" s="319"/>
      <c r="Q48" s="320"/>
      <c r="R48" s="320"/>
      <c r="S48" s="320"/>
      <c r="T48" s="320"/>
      <c r="U48" s="321"/>
      <c r="V48" s="319"/>
      <c r="W48" s="320"/>
      <c r="X48" s="320"/>
      <c r="Y48" s="320"/>
      <c r="Z48" s="320"/>
      <c r="AA48" s="321"/>
      <c r="AB48" s="319"/>
      <c r="AC48" s="320"/>
      <c r="AD48" s="320"/>
      <c r="AE48" s="320"/>
      <c r="AF48" s="320"/>
      <c r="AG48" s="321"/>
      <c r="AH48" s="319"/>
      <c r="AI48" s="320"/>
      <c r="AJ48" s="320"/>
      <c r="AK48" s="320"/>
      <c r="AL48" s="320"/>
      <c r="AM48" s="321"/>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319"/>
      <c r="K49" s="320"/>
      <c r="L49" s="320"/>
      <c r="M49" s="320"/>
      <c r="N49" s="320"/>
      <c r="O49" s="321"/>
      <c r="P49" s="319"/>
      <c r="Q49" s="320"/>
      <c r="R49" s="320"/>
      <c r="S49" s="320"/>
      <c r="T49" s="320"/>
      <c r="U49" s="321"/>
      <c r="V49" s="319"/>
      <c r="W49" s="320"/>
      <c r="X49" s="320"/>
      <c r="Y49" s="320"/>
      <c r="Z49" s="320"/>
      <c r="AA49" s="321"/>
      <c r="AB49" s="319"/>
      <c r="AC49" s="320"/>
      <c r="AD49" s="320"/>
      <c r="AE49" s="320"/>
      <c r="AF49" s="320"/>
      <c r="AG49" s="321"/>
      <c r="AH49" s="319"/>
      <c r="AI49" s="320"/>
      <c r="AJ49" s="320"/>
      <c r="AK49" s="320"/>
      <c r="AL49" s="320"/>
      <c r="AM49" s="321"/>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319"/>
      <c r="K50" s="320"/>
      <c r="L50" s="320"/>
      <c r="M50" s="320"/>
      <c r="N50" s="320"/>
      <c r="O50" s="321"/>
      <c r="P50" s="319"/>
      <c r="Q50" s="320"/>
      <c r="R50" s="320"/>
      <c r="S50" s="320"/>
      <c r="T50" s="320"/>
      <c r="U50" s="321"/>
      <c r="V50" s="319"/>
      <c r="W50" s="320"/>
      <c r="X50" s="320"/>
      <c r="Y50" s="320"/>
      <c r="Z50" s="320"/>
      <c r="AA50" s="321"/>
      <c r="AB50" s="319"/>
      <c r="AC50" s="320"/>
      <c r="AD50" s="320"/>
      <c r="AE50" s="320"/>
      <c r="AF50" s="320"/>
      <c r="AG50" s="321"/>
      <c r="AH50" s="319"/>
      <c r="AI50" s="320"/>
      <c r="AJ50" s="320"/>
      <c r="AK50" s="320"/>
      <c r="AL50" s="320"/>
      <c r="AM50" s="321"/>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322"/>
      <c r="K51" s="323"/>
      <c r="L51" s="323"/>
      <c r="M51" s="323"/>
      <c r="N51" s="323"/>
      <c r="O51" s="324"/>
      <c r="P51" s="322"/>
      <c r="Q51" s="323"/>
      <c r="R51" s="323"/>
      <c r="S51" s="323"/>
      <c r="T51" s="323"/>
      <c r="U51" s="324"/>
      <c r="V51" s="322"/>
      <c r="W51" s="323"/>
      <c r="X51" s="323"/>
      <c r="Y51" s="323"/>
      <c r="Z51" s="323"/>
      <c r="AA51" s="324"/>
      <c r="AB51" s="322"/>
      <c r="AC51" s="323"/>
      <c r="AD51" s="323"/>
      <c r="AE51" s="323"/>
      <c r="AF51" s="323"/>
      <c r="AG51" s="324"/>
      <c r="AH51" s="322"/>
      <c r="AI51" s="323"/>
      <c r="AJ51" s="323"/>
      <c r="AK51" s="323"/>
      <c r="AL51" s="323"/>
      <c r="AM51" s="324"/>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93" t="s">
        <v>157</v>
      </c>
      <c r="C2" s="394"/>
      <c r="D2" s="394"/>
      <c r="E2" s="394"/>
      <c r="F2" s="394"/>
      <c r="G2" s="394"/>
      <c r="H2" s="394"/>
      <c r="I2" s="394"/>
      <c r="J2" s="315" t="s">
        <v>2</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94"/>
      <c r="C3" s="394"/>
      <c r="D3" s="394"/>
      <c r="E3" s="394"/>
      <c r="F3" s="394"/>
      <c r="G3" s="394"/>
      <c r="H3" s="394"/>
      <c r="I3" s="394"/>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94"/>
      <c r="C4" s="394"/>
      <c r="D4" s="394"/>
      <c r="E4" s="394"/>
      <c r="F4" s="394"/>
      <c r="G4" s="394"/>
      <c r="H4" s="394"/>
      <c r="I4" s="394"/>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326" t="s">
        <v>4</v>
      </c>
      <c r="C6" s="326"/>
      <c r="D6" s="327"/>
      <c r="E6" s="364" t="s">
        <v>115</v>
      </c>
      <c r="F6" s="365"/>
      <c r="G6" s="365"/>
      <c r="H6" s="365"/>
      <c r="I6" s="366"/>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84" t="s">
        <v>78</v>
      </c>
      <c r="AP6" s="385"/>
      <c r="AQ6" s="385"/>
      <c r="AR6" s="385"/>
      <c r="AS6" s="385"/>
      <c r="AT6" s="386"/>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326"/>
      <c r="C7" s="326"/>
      <c r="D7" s="327"/>
      <c r="E7" s="367"/>
      <c r="F7" s="368"/>
      <c r="G7" s="368"/>
      <c r="H7" s="368"/>
      <c r="I7" s="369"/>
      <c r="J7" s="44" t="str">
        <f>IF(AND('Mapa final'!$AD$12="Muy Alta",'Mapa final'!$AF$12="Leve"),CONCATENATE("R2C",'Mapa final'!$S$12),"")</f>
        <v/>
      </c>
      <c r="K7" s="45" t="str">
        <f>IF(AND('Mapa final'!$AD$13="Muy Alta",'Mapa final'!$AF$13="Leve"),CONCATENATE("R2C",'Mapa final'!$S$13),"")</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final'!$AD$12="Muy Alta",'Mapa final'!$AF$12="Menor"),CONCATENATE("R2C",'Mapa final'!$S$12),"")</f>
        <v/>
      </c>
      <c r="Q7" s="45" t="str">
        <f>IF(AND('Mapa final'!$AD$13="Muy Alta",'Mapa final'!$AF$13="Menor"),CONCATENATE("R2C",'Mapa final'!$S$13),"")</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final'!$AD$12="Muy Alta",'Mapa final'!$AF$12="Moderado"),CONCATENATE("R2C",'Mapa final'!$S$12),"")</f>
        <v/>
      </c>
      <c r="W7" s="45" t="str">
        <f>IF(AND('Mapa final'!$AD$13="Muy Alta",'Mapa final'!$AF$13="Moderado"),CONCATENATE("R2C",'Mapa final'!$S$13),"")</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final'!$AD$12="Muy Alta",'Mapa final'!$AF$12="Mayor"),CONCATENATE("R2C",'Mapa final'!$S$12),"")</f>
        <v/>
      </c>
      <c r="AC7" s="45" t="str">
        <f>IF(AND('Mapa final'!$AD$13="Muy Alta",'Mapa final'!$AF$13="Mayor"),CONCATENATE("R2C",'Mapa final'!$S$13),"")</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final'!$AD$12="Muy Alta",'Mapa final'!$AF$12="Catastrófico"),CONCATENATE("R2C",'Mapa final'!$S$12),"")</f>
        <v/>
      </c>
      <c r="AI7" s="48" t="str">
        <f>IF(AND('Mapa final'!$AD$13="Muy Alta",'Mapa final'!$AF$13="Catastrófico"),CONCATENATE("R2C",'Mapa final'!$S$13),"")</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87"/>
      <c r="AP7" s="388"/>
      <c r="AQ7" s="388"/>
      <c r="AR7" s="388"/>
      <c r="AS7" s="388"/>
      <c r="AT7" s="389"/>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326"/>
      <c r="C8" s="326"/>
      <c r="D8" s="327"/>
      <c r="E8" s="367"/>
      <c r="F8" s="368"/>
      <c r="G8" s="368"/>
      <c r="H8" s="368"/>
      <c r="I8" s="369"/>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87"/>
      <c r="AP8" s="388"/>
      <c r="AQ8" s="388"/>
      <c r="AR8" s="388"/>
      <c r="AS8" s="388"/>
      <c r="AT8" s="389"/>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326"/>
      <c r="C9" s="326"/>
      <c r="D9" s="327"/>
      <c r="E9" s="367"/>
      <c r="F9" s="368"/>
      <c r="G9" s="368"/>
      <c r="H9" s="368"/>
      <c r="I9" s="369"/>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87"/>
      <c r="AP9" s="388"/>
      <c r="AQ9" s="388"/>
      <c r="AR9" s="388"/>
      <c r="AS9" s="388"/>
      <c r="AT9" s="389"/>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326"/>
      <c r="C10" s="326"/>
      <c r="D10" s="327"/>
      <c r="E10" s="367"/>
      <c r="F10" s="368"/>
      <c r="G10" s="368"/>
      <c r="H10" s="368"/>
      <c r="I10" s="369"/>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87"/>
      <c r="AP10" s="388"/>
      <c r="AQ10" s="388"/>
      <c r="AR10" s="388"/>
      <c r="AS10" s="388"/>
      <c r="AT10" s="389"/>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326"/>
      <c r="C11" s="326"/>
      <c r="D11" s="327"/>
      <c r="E11" s="367"/>
      <c r="F11" s="368"/>
      <c r="G11" s="368"/>
      <c r="H11" s="368"/>
      <c r="I11" s="369"/>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87"/>
      <c r="AP11" s="388"/>
      <c r="AQ11" s="388"/>
      <c r="AR11" s="388"/>
      <c r="AS11" s="388"/>
      <c r="AT11" s="389"/>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326"/>
      <c r="C12" s="326"/>
      <c r="D12" s="327"/>
      <c r="E12" s="367"/>
      <c r="F12" s="368"/>
      <c r="G12" s="368"/>
      <c r="H12" s="368"/>
      <c r="I12" s="369"/>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87"/>
      <c r="AP12" s="388"/>
      <c r="AQ12" s="388"/>
      <c r="AR12" s="388"/>
      <c r="AS12" s="388"/>
      <c r="AT12" s="389"/>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326"/>
      <c r="C13" s="326"/>
      <c r="D13" s="327"/>
      <c r="E13" s="367"/>
      <c r="F13" s="368"/>
      <c r="G13" s="368"/>
      <c r="H13" s="368"/>
      <c r="I13" s="369"/>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87"/>
      <c r="AP13" s="388"/>
      <c r="AQ13" s="388"/>
      <c r="AR13" s="388"/>
      <c r="AS13" s="388"/>
      <c r="AT13" s="389"/>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326"/>
      <c r="C14" s="326"/>
      <c r="D14" s="327"/>
      <c r="E14" s="367"/>
      <c r="F14" s="368"/>
      <c r="G14" s="368"/>
      <c r="H14" s="368"/>
      <c r="I14" s="369"/>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87"/>
      <c r="AP14" s="388"/>
      <c r="AQ14" s="388"/>
      <c r="AR14" s="388"/>
      <c r="AS14" s="388"/>
      <c r="AT14" s="389"/>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326"/>
      <c r="C15" s="326"/>
      <c r="D15" s="327"/>
      <c r="E15" s="370"/>
      <c r="F15" s="371"/>
      <c r="G15" s="371"/>
      <c r="H15" s="371"/>
      <c r="I15" s="372"/>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90"/>
      <c r="AP15" s="391"/>
      <c r="AQ15" s="391"/>
      <c r="AR15" s="391"/>
      <c r="AS15" s="391"/>
      <c r="AT15" s="392"/>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326"/>
      <c r="C16" s="326"/>
      <c r="D16" s="327"/>
      <c r="E16" s="364" t="s">
        <v>114</v>
      </c>
      <c r="F16" s="365"/>
      <c r="G16" s="365"/>
      <c r="H16" s="365"/>
      <c r="I16" s="365"/>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74" t="s">
        <v>79</v>
      </c>
      <c r="AP16" s="375"/>
      <c r="AQ16" s="375"/>
      <c r="AR16" s="375"/>
      <c r="AS16" s="375"/>
      <c r="AT16" s="376"/>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326"/>
      <c r="C17" s="326"/>
      <c r="D17" s="327"/>
      <c r="E17" s="383"/>
      <c r="F17" s="368"/>
      <c r="G17" s="368"/>
      <c r="H17" s="368"/>
      <c r="I17" s="368"/>
      <c r="J17" s="59" t="str">
        <f>IF(AND('Mapa final'!$AD$12="Alta",'Mapa final'!$AF$12="Leve"),CONCATENATE("R2C",'Mapa final'!$S$12),"")</f>
        <v/>
      </c>
      <c r="K17" s="60" t="str">
        <f>IF(AND('Mapa final'!$AD$13="Alta",'Mapa final'!$AF$13="Leve"),CONCATENATE("R2C",'Mapa final'!$S$13),"")</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final'!$AD$12="Alta",'Mapa final'!$AF$12="Menor"),CONCATENATE("R2C",'Mapa final'!$S$12),"")</f>
        <v/>
      </c>
      <c r="Q17" s="60" t="str">
        <f>IF(AND('Mapa final'!$AD$13="Alta",'Mapa final'!$AF$13="Menor"),CONCATENATE("R2C",'Mapa final'!$S$13),"")</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final'!$AD$12="Alta",'Mapa final'!$AF$12="Moderado"),CONCATENATE("R2C",'Mapa final'!$S$12),"")</f>
        <v/>
      </c>
      <c r="W17" s="45" t="str">
        <f>IF(AND('Mapa final'!$AD$13="Alta",'Mapa final'!$AF$13="Moderado"),CONCATENATE("R2C",'Mapa final'!$S$13),"")</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final'!$AD$12="Alta",'Mapa final'!$AF$12="Mayor"),CONCATENATE("R2C",'Mapa final'!$S$12),"")</f>
        <v/>
      </c>
      <c r="AC17" s="45" t="str">
        <f>IF(AND('Mapa final'!$AD$13="Alta",'Mapa final'!$AF$13="Mayor"),CONCATENATE("R2C",'Mapa final'!$S$13),"")</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final'!$AD$12="Alta",'Mapa final'!$AF$12="Catastrófico"),CONCATENATE("R2C",'Mapa final'!$S$12),"")</f>
        <v/>
      </c>
      <c r="AI17" s="48" t="str">
        <f>IF(AND('Mapa final'!$AD$13="Alta",'Mapa final'!$AF$13="Catastrófico"),CONCATENATE("R2C",'Mapa final'!$S$13),"")</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77"/>
      <c r="AP17" s="378"/>
      <c r="AQ17" s="378"/>
      <c r="AR17" s="378"/>
      <c r="AS17" s="378"/>
      <c r="AT17" s="379"/>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326"/>
      <c r="C18" s="326"/>
      <c r="D18" s="327"/>
      <c r="E18" s="367"/>
      <c r="F18" s="368"/>
      <c r="G18" s="368"/>
      <c r="H18" s="368"/>
      <c r="I18" s="368"/>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77"/>
      <c r="AP18" s="378"/>
      <c r="AQ18" s="378"/>
      <c r="AR18" s="378"/>
      <c r="AS18" s="378"/>
      <c r="AT18" s="379"/>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326"/>
      <c r="C19" s="326"/>
      <c r="D19" s="327"/>
      <c r="E19" s="367"/>
      <c r="F19" s="368"/>
      <c r="G19" s="368"/>
      <c r="H19" s="368"/>
      <c r="I19" s="368"/>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77"/>
      <c r="AP19" s="378"/>
      <c r="AQ19" s="378"/>
      <c r="AR19" s="378"/>
      <c r="AS19" s="378"/>
      <c r="AT19" s="379"/>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326"/>
      <c r="C20" s="326"/>
      <c r="D20" s="327"/>
      <c r="E20" s="367"/>
      <c r="F20" s="368"/>
      <c r="G20" s="368"/>
      <c r="H20" s="368"/>
      <c r="I20" s="368"/>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77"/>
      <c r="AP20" s="378"/>
      <c r="AQ20" s="378"/>
      <c r="AR20" s="378"/>
      <c r="AS20" s="378"/>
      <c r="AT20" s="379"/>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326"/>
      <c r="C21" s="326"/>
      <c r="D21" s="327"/>
      <c r="E21" s="367"/>
      <c r="F21" s="368"/>
      <c r="G21" s="368"/>
      <c r="H21" s="368"/>
      <c r="I21" s="368"/>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77"/>
      <c r="AP21" s="378"/>
      <c r="AQ21" s="378"/>
      <c r="AR21" s="378"/>
      <c r="AS21" s="378"/>
      <c r="AT21" s="379"/>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326"/>
      <c r="C22" s="326"/>
      <c r="D22" s="327"/>
      <c r="E22" s="367"/>
      <c r="F22" s="368"/>
      <c r="G22" s="368"/>
      <c r="H22" s="368"/>
      <c r="I22" s="368"/>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77"/>
      <c r="AP22" s="378"/>
      <c r="AQ22" s="378"/>
      <c r="AR22" s="378"/>
      <c r="AS22" s="378"/>
      <c r="AT22" s="379"/>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326"/>
      <c r="C23" s="326"/>
      <c r="D23" s="327"/>
      <c r="E23" s="367"/>
      <c r="F23" s="368"/>
      <c r="G23" s="368"/>
      <c r="H23" s="368"/>
      <c r="I23" s="368"/>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77"/>
      <c r="AP23" s="378"/>
      <c r="AQ23" s="378"/>
      <c r="AR23" s="378"/>
      <c r="AS23" s="378"/>
      <c r="AT23" s="379"/>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326"/>
      <c r="C24" s="326"/>
      <c r="D24" s="327"/>
      <c r="E24" s="367"/>
      <c r="F24" s="368"/>
      <c r="G24" s="368"/>
      <c r="H24" s="368"/>
      <c r="I24" s="368"/>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77"/>
      <c r="AP24" s="378"/>
      <c r="AQ24" s="378"/>
      <c r="AR24" s="378"/>
      <c r="AS24" s="378"/>
      <c r="AT24" s="379"/>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326"/>
      <c r="C25" s="326"/>
      <c r="D25" s="327"/>
      <c r="E25" s="370"/>
      <c r="F25" s="371"/>
      <c r="G25" s="371"/>
      <c r="H25" s="371"/>
      <c r="I25" s="371"/>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80"/>
      <c r="AP25" s="381"/>
      <c r="AQ25" s="381"/>
      <c r="AR25" s="381"/>
      <c r="AS25" s="381"/>
      <c r="AT25" s="382"/>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326"/>
      <c r="C26" s="326"/>
      <c r="D26" s="327"/>
      <c r="E26" s="364" t="s">
        <v>116</v>
      </c>
      <c r="F26" s="365"/>
      <c r="G26" s="365"/>
      <c r="H26" s="365"/>
      <c r="I26" s="366"/>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404" t="s">
        <v>80</v>
      </c>
      <c r="AP26" s="405"/>
      <c r="AQ26" s="405"/>
      <c r="AR26" s="405"/>
      <c r="AS26" s="405"/>
      <c r="AT26" s="406"/>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326"/>
      <c r="C27" s="326"/>
      <c r="D27" s="327"/>
      <c r="E27" s="383"/>
      <c r="F27" s="368"/>
      <c r="G27" s="368"/>
      <c r="H27" s="368"/>
      <c r="I27" s="369"/>
      <c r="J27" s="59" t="str">
        <f>IF(AND('Mapa final'!$AD$12="Media",'Mapa final'!$AF$12="Leve"),CONCATENATE("R2C",'Mapa final'!$S$12),"")</f>
        <v/>
      </c>
      <c r="K27" s="60" t="str">
        <f>IF(AND('Mapa final'!$AD$13="Media",'Mapa final'!$AF$13="Leve"),CONCATENATE("R2C",'Mapa final'!$S$13),"")</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final'!$AD$12="Media",'Mapa final'!$AF$12="Menor"),CONCATENATE("R2C",'Mapa final'!$S$12),"")</f>
        <v/>
      </c>
      <c r="Q27" s="60" t="str">
        <f>IF(AND('Mapa final'!$AD$13="Media",'Mapa final'!$AF$13="Menor"),CONCATENATE("R2C",'Mapa final'!$S$13),"")</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final'!$AD$12="Media",'Mapa final'!$AF$12="Moderado"),CONCATENATE("R2C",'Mapa final'!$S$12),"")</f>
        <v/>
      </c>
      <c r="W27" s="60" t="str">
        <f>IF(AND('Mapa final'!$AD$13="Media",'Mapa final'!$AF$13="Moderado"),CONCATENATE("R2C",'Mapa final'!$S$13),"")</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final'!$AD$12="Media",'Mapa final'!$AF$12="Mayor"),CONCATENATE("R2C",'Mapa final'!$S$12),"")</f>
        <v/>
      </c>
      <c r="AC27" s="45" t="str">
        <f>IF(AND('Mapa final'!$AD$13="Media",'Mapa final'!$AF$13="Mayor"),CONCATENATE("R2C",'Mapa final'!$S$13),"")</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final'!$AD$12="Media",'Mapa final'!$AF$12="Catastrófico"),CONCATENATE("R2C",'Mapa final'!$S$12),"")</f>
        <v/>
      </c>
      <c r="AI27" s="48" t="str">
        <f>IF(AND('Mapa final'!$AD$13="Media",'Mapa final'!$AF$13="Catastrófico"),CONCATENATE("R2C",'Mapa final'!$S$13),"")</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407"/>
      <c r="AP27" s="408"/>
      <c r="AQ27" s="408"/>
      <c r="AR27" s="408"/>
      <c r="AS27" s="408"/>
      <c r="AT27" s="409"/>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326"/>
      <c r="C28" s="326"/>
      <c r="D28" s="327"/>
      <c r="E28" s="367"/>
      <c r="F28" s="368"/>
      <c r="G28" s="368"/>
      <c r="H28" s="368"/>
      <c r="I28" s="369"/>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407"/>
      <c r="AP28" s="408"/>
      <c r="AQ28" s="408"/>
      <c r="AR28" s="408"/>
      <c r="AS28" s="408"/>
      <c r="AT28" s="409"/>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326"/>
      <c r="C29" s="326"/>
      <c r="D29" s="327"/>
      <c r="E29" s="367"/>
      <c r="F29" s="368"/>
      <c r="G29" s="368"/>
      <c r="H29" s="368"/>
      <c r="I29" s="369"/>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407"/>
      <c r="AP29" s="408"/>
      <c r="AQ29" s="408"/>
      <c r="AR29" s="408"/>
      <c r="AS29" s="408"/>
      <c r="AT29" s="409"/>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326"/>
      <c r="C30" s="326"/>
      <c r="D30" s="327"/>
      <c r="E30" s="367"/>
      <c r="F30" s="368"/>
      <c r="G30" s="368"/>
      <c r="H30" s="368"/>
      <c r="I30" s="369"/>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407"/>
      <c r="AP30" s="408"/>
      <c r="AQ30" s="408"/>
      <c r="AR30" s="408"/>
      <c r="AS30" s="408"/>
      <c r="AT30" s="409"/>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326"/>
      <c r="C31" s="326"/>
      <c r="D31" s="327"/>
      <c r="E31" s="367"/>
      <c r="F31" s="368"/>
      <c r="G31" s="368"/>
      <c r="H31" s="368"/>
      <c r="I31" s="369"/>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407"/>
      <c r="AP31" s="408"/>
      <c r="AQ31" s="408"/>
      <c r="AR31" s="408"/>
      <c r="AS31" s="408"/>
      <c r="AT31" s="409"/>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326"/>
      <c r="C32" s="326"/>
      <c r="D32" s="327"/>
      <c r="E32" s="367"/>
      <c r="F32" s="368"/>
      <c r="G32" s="368"/>
      <c r="H32" s="368"/>
      <c r="I32" s="369"/>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407"/>
      <c r="AP32" s="408"/>
      <c r="AQ32" s="408"/>
      <c r="AR32" s="408"/>
      <c r="AS32" s="408"/>
      <c r="AT32" s="409"/>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326"/>
      <c r="C33" s="326"/>
      <c r="D33" s="327"/>
      <c r="E33" s="367"/>
      <c r="F33" s="368"/>
      <c r="G33" s="368"/>
      <c r="H33" s="368"/>
      <c r="I33" s="369"/>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407"/>
      <c r="AP33" s="408"/>
      <c r="AQ33" s="408"/>
      <c r="AR33" s="408"/>
      <c r="AS33" s="408"/>
      <c r="AT33" s="409"/>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326"/>
      <c r="C34" s="326"/>
      <c r="D34" s="327"/>
      <c r="E34" s="367"/>
      <c r="F34" s="368"/>
      <c r="G34" s="368"/>
      <c r="H34" s="368"/>
      <c r="I34" s="369"/>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407"/>
      <c r="AP34" s="408"/>
      <c r="AQ34" s="408"/>
      <c r="AR34" s="408"/>
      <c r="AS34" s="408"/>
      <c r="AT34" s="409"/>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326"/>
      <c r="C35" s="326"/>
      <c r="D35" s="327"/>
      <c r="E35" s="370"/>
      <c r="F35" s="371"/>
      <c r="G35" s="371"/>
      <c r="H35" s="371"/>
      <c r="I35" s="372"/>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410"/>
      <c r="AP35" s="411"/>
      <c r="AQ35" s="411"/>
      <c r="AR35" s="411"/>
      <c r="AS35" s="411"/>
      <c r="AT35" s="412"/>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326"/>
      <c r="C36" s="326"/>
      <c r="D36" s="327"/>
      <c r="E36" s="364" t="s">
        <v>113</v>
      </c>
      <c r="F36" s="365"/>
      <c r="G36" s="365"/>
      <c r="H36" s="365"/>
      <c r="I36" s="365"/>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95" t="s">
        <v>81</v>
      </c>
      <c r="AP36" s="396"/>
      <c r="AQ36" s="396"/>
      <c r="AR36" s="396"/>
      <c r="AS36" s="396"/>
      <c r="AT36" s="397"/>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326"/>
      <c r="C37" s="326"/>
      <c r="D37" s="327"/>
      <c r="E37" s="383"/>
      <c r="F37" s="368"/>
      <c r="G37" s="368"/>
      <c r="H37" s="368"/>
      <c r="I37" s="368"/>
      <c r="J37" s="68" t="str">
        <f>IF(AND('Mapa final'!$AD$12="Baja",'Mapa final'!$AF$12="Leve"),CONCATENATE("R2C",'Mapa final'!$S$12),"")</f>
        <v/>
      </c>
      <c r="K37" s="69" t="str">
        <f>IF(AND('Mapa final'!$AD$13="Baja",'Mapa final'!$AF$13="Leve"),CONCATENATE("R2C",'Mapa final'!$S$13),"")</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final'!$AD$12="Baja",'Mapa final'!$AF$12="Menor"),CONCATENATE("R2C",'Mapa final'!$S$12),"")</f>
        <v/>
      </c>
      <c r="Q37" s="60" t="str">
        <f>IF(AND('Mapa final'!$AD$13="Baja",'Mapa final'!$AF$13="Menor"),CONCATENATE("R2C",'Mapa final'!$S$13),"")</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final'!$AD$12="Baja",'Mapa final'!$AF$12="Moderado"),CONCATENATE("R2C",'Mapa final'!$S$12),"")</f>
        <v>R2C1</v>
      </c>
      <c r="W37" s="60" t="str">
        <f>IF(AND('Mapa final'!$AD$13="Baja",'Mapa final'!$AF$13="Moderado"),CONCATENATE("R2C",'Mapa final'!$S$13),"")</f>
        <v>R2C2</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final'!$AD$12="Baja",'Mapa final'!$AF$12="Mayor"),CONCATENATE("R2C",'Mapa final'!$S$12),"")</f>
        <v/>
      </c>
      <c r="AC37" s="45" t="str">
        <f>IF(AND('Mapa final'!$AD$13="Baja",'Mapa final'!$AF$13="Mayor"),CONCATENATE("R2C",'Mapa final'!$S$13),"")</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final'!$AD$12="Baja",'Mapa final'!$AF$12="Catastrófico"),CONCATENATE("R2C",'Mapa final'!$S$12),"")</f>
        <v/>
      </c>
      <c r="AI37" s="48" t="str">
        <f>IF(AND('Mapa final'!$AD$13="Baja",'Mapa final'!$AF$13="Catastrófico"),CONCATENATE("R2C",'Mapa final'!$S$13),"")</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98"/>
      <c r="AP37" s="399"/>
      <c r="AQ37" s="399"/>
      <c r="AR37" s="399"/>
      <c r="AS37" s="399"/>
      <c r="AT37" s="400"/>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326"/>
      <c r="C38" s="326"/>
      <c r="D38" s="327"/>
      <c r="E38" s="367"/>
      <c r="F38" s="368"/>
      <c r="G38" s="368"/>
      <c r="H38" s="368"/>
      <c r="I38" s="368"/>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98"/>
      <c r="AP38" s="399"/>
      <c r="AQ38" s="399"/>
      <c r="AR38" s="399"/>
      <c r="AS38" s="399"/>
      <c r="AT38" s="400"/>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326"/>
      <c r="C39" s="326"/>
      <c r="D39" s="327"/>
      <c r="E39" s="367"/>
      <c r="F39" s="368"/>
      <c r="G39" s="368"/>
      <c r="H39" s="368"/>
      <c r="I39" s="368"/>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98"/>
      <c r="AP39" s="399"/>
      <c r="AQ39" s="399"/>
      <c r="AR39" s="399"/>
      <c r="AS39" s="399"/>
      <c r="AT39" s="400"/>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326"/>
      <c r="C40" s="326"/>
      <c r="D40" s="327"/>
      <c r="E40" s="367"/>
      <c r="F40" s="368"/>
      <c r="G40" s="368"/>
      <c r="H40" s="368"/>
      <c r="I40" s="368"/>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98"/>
      <c r="AP40" s="399"/>
      <c r="AQ40" s="399"/>
      <c r="AR40" s="399"/>
      <c r="AS40" s="399"/>
      <c r="AT40" s="400"/>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326"/>
      <c r="C41" s="326"/>
      <c r="D41" s="327"/>
      <c r="E41" s="367"/>
      <c r="F41" s="368"/>
      <c r="G41" s="368"/>
      <c r="H41" s="368"/>
      <c r="I41" s="368"/>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98"/>
      <c r="AP41" s="399"/>
      <c r="AQ41" s="399"/>
      <c r="AR41" s="399"/>
      <c r="AS41" s="399"/>
      <c r="AT41" s="400"/>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326"/>
      <c r="C42" s="326"/>
      <c r="D42" s="327"/>
      <c r="E42" s="367"/>
      <c r="F42" s="368"/>
      <c r="G42" s="368"/>
      <c r="H42" s="368"/>
      <c r="I42" s="368"/>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98"/>
      <c r="AP42" s="399"/>
      <c r="AQ42" s="399"/>
      <c r="AR42" s="399"/>
      <c r="AS42" s="399"/>
      <c r="AT42" s="400"/>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326"/>
      <c r="C43" s="326"/>
      <c r="D43" s="327"/>
      <c r="E43" s="367"/>
      <c r="F43" s="368"/>
      <c r="G43" s="368"/>
      <c r="H43" s="368"/>
      <c r="I43" s="368"/>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98"/>
      <c r="AP43" s="399"/>
      <c r="AQ43" s="399"/>
      <c r="AR43" s="399"/>
      <c r="AS43" s="399"/>
      <c r="AT43" s="400"/>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326"/>
      <c r="C44" s="326"/>
      <c r="D44" s="327"/>
      <c r="E44" s="367"/>
      <c r="F44" s="368"/>
      <c r="G44" s="368"/>
      <c r="H44" s="368"/>
      <c r="I44" s="368"/>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98"/>
      <c r="AP44" s="399"/>
      <c r="AQ44" s="399"/>
      <c r="AR44" s="399"/>
      <c r="AS44" s="399"/>
      <c r="AT44" s="400"/>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326"/>
      <c r="C45" s="326"/>
      <c r="D45" s="327"/>
      <c r="E45" s="370"/>
      <c r="F45" s="371"/>
      <c r="G45" s="371"/>
      <c r="H45" s="371"/>
      <c r="I45" s="371"/>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401"/>
      <c r="AP45" s="402"/>
      <c r="AQ45" s="402"/>
      <c r="AR45" s="402"/>
      <c r="AS45" s="402"/>
      <c r="AT45" s="403"/>
    </row>
    <row r="46" spans="1:80" ht="46.5" customHeight="1" x14ac:dyDescent="0.35">
      <c r="A46" s="75"/>
      <c r="B46" s="326"/>
      <c r="C46" s="326"/>
      <c r="D46" s="327"/>
      <c r="E46" s="364" t="s">
        <v>112</v>
      </c>
      <c r="F46" s="365"/>
      <c r="G46" s="365"/>
      <c r="H46" s="365"/>
      <c r="I46" s="366"/>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326"/>
      <c r="C47" s="326"/>
      <c r="D47" s="327"/>
      <c r="E47" s="383"/>
      <c r="F47" s="368"/>
      <c r="G47" s="368"/>
      <c r="H47" s="368"/>
      <c r="I47" s="369"/>
      <c r="J47" s="68" t="str">
        <f>IF(AND('Mapa final'!$AD$12="Muy Baja",'Mapa final'!$AF$12="Leve"),CONCATENATE("R2C",'Mapa final'!$S$12),"")</f>
        <v/>
      </c>
      <c r="K47" s="69" t="str">
        <f>IF(AND('Mapa final'!$AD$13="Muy Baja",'Mapa final'!$AF$13="Leve"),CONCATENATE("R2C",'Mapa final'!$S$13),"")</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final'!$AD$12="Muy Baja",'Mapa final'!$AF$12="Menor"),CONCATENATE("R2C",'Mapa final'!$S$12),"")</f>
        <v/>
      </c>
      <c r="Q47" s="69" t="str">
        <f>IF(AND('Mapa final'!$AD$13="Muy Baja",'Mapa final'!$AF$13="Menor"),CONCATENATE("R2C",'Mapa final'!$S$13),"")</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final'!$AD$12="Muy Baja",'Mapa final'!$AF$12="Moderado"),CONCATENATE("R2C",'Mapa final'!$S$12),"")</f>
        <v/>
      </c>
      <c r="W47" s="60" t="str">
        <f>IF(AND('Mapa final'!$AD$13="Muy Baja",'Mapa final'!$AF$13="Moderado"),CONCATENATE("R2C",'Mapa final'!$S$13),"")</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final'!$AD$12="Muy Baja",'Mapa final'!$AF$12="Mayor"),CONCATENATE("R2C",'Mapa final'!$S$12),"")</f>
        <v/>
      </c>
      <c r="AC47" s="45" t="str">
        <f>IF(AND('Mapa final'!$AD$13="Muy Baja",'Mapa final'!$AF$13="Mayor"),CONCATENATE("R2C",'Mapa final'!$S$13),"")</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final'!$AD$12="Muy Baja",'Mapa final'!$AF$12="Catastrófico"),CONCATENATE("R2C",'Mapa final'!$S$12),"")</f>
        <v/>
      </c>
      <c r="AI47" s="48" t="str">
        <f>IF(AND('Mapa final'!$AD$13="Muy Baja",'Mapa final'!$AF$13="Catastrófico"),CONCATENATE("R2C",'Mapa final'!$S$13),"")</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326"/>
      <c r="C48" s="326"/>
      <c r="D48" s="327"/>
      <c r="E48" s="383"/>
      <c r="F48" s="368"/>
      <c r="G48" s="368"/>
      <c r="H48" s="368"/>
      <c r="I48" s="369"/>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326"/>
      <c r="C49" s="326"/>
      <c r="D49" s="327"/>
      <c r="E49" s="367"/>
      <c r="F49" s="368"/>
      <c r="G49" s="368"/>
      <c r="H49" s="368"/>
      <c r="I49" s="369"/>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326"/>
      <c r="C50" s="326"/>
      <c r="D50" s="327"/>
      <c r="E50" s="367"/>
      <c r="F50" s="368"/>
      <c r="G50" s="368"/>
      <c r="H50" s="368"/>
      <c r="I50" s="369"/>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326"/>
      <c r="C51" s="326"/>
      <c r="D51" s="327"/>
      <c r="E51" s="367"/>
      <c r="F51" s="368"/>
      <c r="G51" s="368"/>
      <c r="H51" s="368"/>
      <c r="I51" s="369"/>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326"/>
      <c r="C52" s="326"/>
      <c r="D52" s="327"/>
      <c r="E52" s="367"/>
      <c r="F52" s="368"/>
      <c r="G52" s="368"/>
      <c r="H52" s="368"/>
      <c r="I52" s="369"/>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326"/>
      <c r="C53" s="326"/>
      <c r="D53" s="327"/>
      <c r="E53" s="367"/>
      <c r="F53" s="368"/>
      <c r="G53" s="368"/>
      <c r="H53" s="368"/>
      <c r="I53" s="369"/>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326"/>
      <c r="C54" s="326"/>
      <c r="D54" s="327"/>
      <c r="E54" s="367"/>
      <c r="F54" s="368"/>
      <c r="G54" s="368"/>
      <c r="H54" s="368"/>
      <c r="I54" s="369"/>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326"/>
      <c r="C55" s="326"/>
      <c r="D55" s="327"/>
      <c r="E55" s="370"/>
      <c r="F55" s="371"/>
      <c r="G55" s="371"/>
      <c r="H55" s="371"/>
      <c r="I55" s="372"/>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64" t="s">
        <v>111</v>
      </c>
      <c r="K56" s="365"/>
      <c r="L56" s="365"/>
      <c r="M56" s="365"/>
      <c r="N56" s="365"/>
      <c r="O56" s="366"/>
      <c r="P56" s="364" t="s">
        <v>110</v>
      </c>
      <c r="Q56" s="365"/>
      <c r="R56" s="365"/>
      <c r="S56" s="365"/>
      <c r="T56" s="365"/>
      <c r="U56" s="366"/>
      <c r="V56" s="364" t="s">
        <v>109</v>
      </c>
      <c r="W56" s="365"/>
      <c r="X56" s="365"/>
      <c r="Y56" s="365"/>
      <c r="Z56" s="365"/>
      <c r="AA56" s="366"/>
      <c r="AB56" s="364" t="s">
        <v>108</v>
      </c>
      <c r="AC56" s="373"/>
      <c r="AD56" s="365"/>
      <c r="AE56" s="365"/>
      <c r="AF56" s="365"/>
      <c r="AG56" s="366"/>
      <c r="AH56" s="364" t="s">
        <v>107</v>
      </c>
      <c r="AI56" s="365"/>
      <c r="AJ56" s="365"/>
      <c r="AK56" s="365"/>
      <c r="AL56" s="365"/>
      <c r="AM56" s="366"/>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67"/>
      <c r="K57" s="368"/>
      <c r="L57" s="368"/>
      <c r="M57" s="368"/>
      <c r="N57" s="368"/>
      <c r="O57" s="369"/>
      <c r="P57" s="367"/>
      <c r="Q57" s="368"/>
      <c r="R57" s="368"/>
      <c r="S57" s="368"/>
      <c r="T57" s="368"/>
      <c r="U57" s="369"/>
      <c r="V57" s="367"/>
      <c r="W57" s="368"/>
      <c r="X57" s="368"/>
      <c r="Y57" s="368"/>
      <c r="Z57" s="368"/>
      <c r="AA57" s="369"/>
      <c r="AB57" s="367"/>
      <c r="AC57" s="368"/>
      <c r="AD57" s="368"/>
      <c r="AE57" s="368"/>
      <c r="AF57" s="368"/>
      <c r="AG57" s="369"/>
      <c r="AH57" s="367"/>
      <c r="AI57" s="368"/>
      <c r="AJ57" s="368"/>
      <c r="AK57" s="368"/>
      <c r="AL57" s="368"/>
      <c r="AM57" s="369"/>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67"/>
      <c r="K58" s="368"/>
      <c r="L58" s="368"/>
      <c r="M58" s="368"/>
      <c r="N58" s="368"/>
      <c r="O58" s="369"/>
      <c r="P58" s="367"/>
      <c r="Q58" s="368"/>
      <c r="R58" s="368"/>
      <c r="S58" s="368"/>
      <c r="T58" s="368"/>
      <c r="U58" s="369"/>
      <c r="V58" s="367"/>
      <c r="W58" s="368"/>
      <c r="X58" s="368"/>
      <c r="Y58" s="368"/>
      <c r="Z58" s="368"/>
      <c r="AA58" s="369"/>
      <c r="AB58" s="367"/>
      <c r="AC58" s="368"/>
      <c r="AD58" s="368"/>
      <c r="AE58" s="368"/>
      <c r="AF58" s="368"/>
      <c r="AG58" s="369"/>
      <c r="AH58" s="367"/>
      <c r="AI58" s="368"/>
      <c r="AJ58" s="368"/>
      <c r="AK58" s="368"/>
      <c r="AL58" s="368"/>
      <c r="AM58" s="369"/>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67"/>
      <c r="K59" s="368"/>
      <c r="L59" s="368"/>
      <c r="M59" s="368"/>
      <c r="N59" s="368"/>
      <c r="O59" s="369"/>
      <c r="P59" s="367"/>
      <c r="Q59" s="368"/>
      <c r="R59" s="368"/>
      <c r="S59" s="368"/>
      <c r="T59" s="368"/>
      <c r="U59" s="369"/>
      <c r="V59" s="367"/>
      <c r="W59" s="368"/>
      <c r="X59" s="368"/>
      <c r="Y59" s="368"/>
      <c r="Z59" s="368"/>
      <c r="AA59" s="369"/>
      <c r="AB59" s="367"/>
      <c r="AC59" s="368"/>
      <c r="AD59" s="368"/>
      <c r="AE59" s="368"/>
      <c r="AF59" s="368"/>
      <c r="AG59" s="369"/>
      <c r="AH59" s="367"/>
      <c r="AI59" s="368"/>
      <c r="AJ59" s="368"/>
      <c r="AK59" s="368"/>
      <c r="AL59" s="368"/>
      <c r="AM59" s="369"/>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67"/>
      <c r="K60" s="368"/>
      <c r="L60" s="368"/>
      <c r="M60" s="368"/>
      <c r="N60" s="368"/>
      <c r="O60" s="369"/>
      <c r="P60" s="367"/>
      <c r="Q60" s="368"/>
      <c r="R60" s="368"/>
      <c r="S60" s="368"/>
      <c r="T60" s="368"/>
      <c r="U60" s="369"/>
      <c r="V60" s="367"/>
      <c r="W60" s="368"/>
      <c r="X60" s="368"/>
      <c r="Y60" s="368"/>
      <c r="Z60" s="368"/>
      <c r="AA60" s="369"/>
      <c r="AB60" s="367"/>
      <c r="AC60" s="368"/>
      <c r="AD60" s="368"/>
      <c r="AE60" s="368"/>
      <c r="AF60" s="368"/>
      <c r="AG60" s="369"/>
      <c r="AH60" s="367"/>
      <c r="AI60" s="368"/>
      <c r="AJ60" s="368"/>
      <c r="AK60" s="368"/>
      <c r="AL60" s="368"/>
      <c r="AM60" s="369"/>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70"/>
      <c r="K61" s="371"/>
      <c r="L61" s="371"/>
      <c r="M61" s="371"/>
      <c r="N61" s="371"/>
      <c r="O61" s="372"/>
      <c r="P61" s="370"/>
      <c r="Q61" s="371"/>
      <c r="R61" s="371"/>
      <c r="S61" s="371"/>
      <c r="T61" s="371"/>
      <c r="U61" s="372"/>
      <c r="V61" s="370"/>
      <c r="W61" s="371"/>
      <c r="X61" s="371"/>
      <c r="Y61" s="371"/>
      <c r="Z61" s="371"/>
      <c r="AA61" s="372"/>
      <c r="AB61" s="370"/>
      <c r="AC61" s="371"/>
      <c r="AD61" s="371"/>
      <c r="AE61" s="371"/>
      <c r="AF61" s="371"/>
      <c r="AG61" s="372"/>
      <c r="AH61" s="370"/>
      <c r="AI61" s="371"/>
      <c r="AJ61" s="371"/>
      <c r="AK61" s="371"/>
      <c r="AL61" s="371"/>
      <c r="AM61" s="372"/>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413" t="s">
        <v>54</v>
      </c>
      <c r="C1" s="413"/>
      <c r="D1" s="413"/>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414" t="s">
        <v>62</v>
      </c>
      <c r="C1" s="414"/>
      <c r="D1" s="414"/>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415" t="s">
        <v>77</v>
      </c>
      <c r="C1" s="416"/>
      <c r="D1" s="416"/>
      <c r="E1" s="416"/>
      <c r="F1" s="417"/>
    </row>
    <row r="2" spans="2:6" ht="16.5" thickBot="1" x14ac:dyDescent="0.3">
      <c r="B2" s="81"/>
      <c r="C2" s="81"/>
      <c r="D2" s="81"/>
      <c r="E2" s="81"/>
      <c r="F2" s="81"/>
    </row>
    <row r="3" spans="2:6" ht="16.5" thickBot="1" x14ac:dyDescent="0.25">
      <c r="B3" s="419" t="s">
        <v>63</v>
      </c>
      <c r="C3" s="420"/>
      <c r="D3" s="420"/>
      <c r="E3" s="93" t="s">
        <v>64</v>
      </c>
      <c r="F3" s="94" t="s">
        <v>65</v>
      </c>
    </row>
    <row r="4" spans="2:6" ht="31.5" x14ac:dyDescent="0.2">
      <c r="B4" s="421" t="s">
        <v>66</v>
      </c>
      <c r="C4" s="423" t="s">
        <v>13</v>
      </c>
      <c r="D4" s="82" t="s">
        <v>14</v>
      </c>
      <c r="E4" s="83" t="s">
        <v>67</v>
      </c>
      <c r="F4" s="84">
        <v>0.25</v>
      </c>
    </row>
    <row r="5" spans="2:6" ht="47.25" x14ac:dyDescent="0.2">
      <c r="B5" s="422"/>
      <c r="C5" s="424"/>
      <c r="D5" s="85" t="s">
        <v>15</v>
      </c>
      <c r="E5" s="86" t="s">
        <v>68</v>
      </c>
      <c r="F5" s="87">
        <v>0.15</v>
      </c>
    </row>
    <row r="6" spans="2:6" ht="47.25" x14ac:dyDescent="0.2">
      <c r="B6" s="422"/>
      <c r="C6" s="424"/>
      <c r="D6" s="85" t="s">
        <v>16</v>
      </c>
      <c r="E6" s="86" t="s">
        <v>69</v>
      </c>
      <c r="F6" s="87">
        <v>0.1</v>
      </c>
    </row>
    <row r="7" spans="2:6" ht="63" x14ac:dyDescent="0.2">
      <c r="B7" s="422"/>
      <c r="C7" s="424" t="s">
        <v>17</v>
      </c>
      <c r="D7" s="85" t="s">
        <v>10</v>
      </c>
      <c r="E7" s="86" t="s">
        <v>70</v>
      </c>
      <c r="F7" s="87">
        <v>0.25</v>
      </c>
    </row>
    <row r="8" spans="2:6" ht="31.5" x14ac:dyDescent="0.2">
      <c r="B8" s="422"/>
      <c r="C8" s="424"/>
      <c r="D8" s="85" t="s">
        <v>9</v>
      </c>
      <c r="E8" s="86" t="s">
        <v>71</v>
      </c>
      <c r="F8" s="87">
        <v>0.15</v>
      </c>
    </row>
    <row r="9" spans="2:6" ht="47.25" x14ac:dyDescent="0.2">
      <c r="B9" s="422" t="s">
        <v>159</v>
      </c>
      <c r="C9" s="424" t="s">
        <v>18</v>
      </c>
      <c r="D9" s="85" t="s">
        <v>19</v>
      </c>
      <c r="E9" s="86" t="s">
        <v>72</v>
      </c>
      <c r="F9" s="88" t="s">
        <v>73</v>
      </c>
    </row>
    <row r="10" spans="2:6" ht="63" x14ac:dyDescent="0.2">
      <c r="B10" s="422"/>
      <c r="C10" s="424"/>
      <c r="D10" s="85" t="s">
        <v>20</v>
      </c>
      <c r="E10" s="86" t="s">
        <v>74</v>
      </c>
      <c r="F10" s="88" t="s">
        <v>73</v>
      </c>
    </row>
    <row r="11" spans="2:6" ht="47.25" x14ac:dyDescent="0.2">
      <c r="B11" s="422"/>
      <c r="C11" s="424" t="s">
        <v>21</v>
      </c>
      <c r="D11" s="85" t="s">
        <v>22</v>
      </c>
      <c r="E11" s="86" t="s">
        <v>75</v>
      </c>
      <c r="F11" s="88" t="s">
        <v>73</v>
      </c>
    </row>
    <row r="12" spans="2:6" ht="47.25" x14ac:dyDescent="0.2">
      <c r="B12" s="422"/>
      <c r="C12" s="424"/>
      <c r="D12" s="85" t="s">
        <v>23</v>
      </c>
      <c r="E12" s="86" t="s">
        <v>76</v>
      </c>
      <c r="F12" s="88" t="s">
        <v>73</v>
      </c>
    </row>
    <row r="13" spans="2:6" ht="31.5" x14ac:dyDescent="0.2">
      <c r="B13" s="422"/>
      <c r="C13" s="424" t="s">
        <v>24</v>
      </c>
      <c r="D13" s="85" t="s">
        <v>118</v>
      </c>
      <c r="E13" s="86" t="s">
        <v>121</v>
      </c>
      <c r="F13" s="88" t="s">
        <v>73</v>
      </c>
    </row>
    <row r="14" spans="2:6" ht="32.25" thickBot="1" x14ac:dyDescent="0.25">
      <c r="B14" s="425"/>
      <c r="C14" s="426"/>
      <c r="D14" s="89" t="s">
        <v>119</v>
      </c>
      <c r="E14" s="90" t="s">
        <v>120</v>
      </c>
      <c r="F14" s="91" t="s">
        <v>73</v>
      </c>
    </row>
    <row r="15" spans="2:6" ht="49.5" customHeight="1" x14ac:dyDescent="0.2">
      <c r="B15" s="418" t="s">
        <v>156</v>
      </c>
      <c r="C15" s="418"/>
      <c r="D15" s="418"/>
      <c r="E15" s="418"/>
      <c r="F15" s="418"/>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Apoyo Control Interno ETITC</cp:lastModifiedBy>
  <cp:lastPrinted>2020-05-13T01:12:22Z</cp:lastPrinted>
  <dcterms:created xsi:type="dcterms:W3CDTF">2020-03-24T23:12:47Z</dcterms:created>
  <dcterms:modified xsi:type="dcterms:W3CDTF">2023-02-23T22:10:34Z</dcterms:modified>
</cp:coreProperties>
</file>