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105" documentId="11_083E09F9E595C715358F8946545FE11043CF2DAF" xr6:coauthVersionLast="47" xr6:coauthVersionMax="47" xr10:uidLastSave="{A0B346ED-DCD9-43B3-962B-19B2A5BF1DD3}"/>
  <bookViews>
    <workbookView xWindow="-120" yWindow="-120" windowWidth="20730" windowHeight="11040"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 l="1"/>
  <c r="Y24" i="1"/>
  <c r="V22" i="1"/>
  <c r="Y22" i="1"/>
  <c r="Y21" i="1"/>
  <c r="V21" i="1"/>
  <c r="L21" i="1"/>
  <c r="Y25" i="1"/>
  <c r="V25" i="1"/>
  <c r="V24" i="1"/>
  <c r="L24" i="1"/>
  <c r="Y17" i="1"/>
  <c r="V17" i="1"/>
  <c r="L17" i="1"/>
  <c r="V16" i="1"/>
  <c r="L16" i="1"/>
  <c r="M16" i="1" s="1"/>
  <c r="Y15" i="1"/>
  <c r="L15" i="1"/>
  <c r="M15" i="1" s="1"/>
  <c r="Y16" i="1"/>
  <c r="V15" i="1"/>
  <c r="Y20" i="1"/>
  <c r="V20" i="1"/>
  <c r="L20" i="1"/>
  <c r="Y19" i="1"/>
  <c r="V19" i="1"/>
  <c r="L19" i="1"/>
  <c r="M19" i="1" s="1"/>
  <c r="Y23" i="1"/>
  <c r="V23" i="1"/>
  <c r="L23" i="1"/>
  <c r="M23" i="1" s="1"/>
  <c r="L22" i="1"/>
  <c r="M22" i="1" s="1"/>
  <c r="Y18" i="1"/>
  <c r="V18" i="1"/>
  <c r="L18" i="1"/>
  <c r="L14" i="1"/>
  <c r="M14" i="1" s="1"/>
  <c r="Y14" i="1"/>
  <c r="V14" i="1"/>
  <c r="L30" i="1"/>
  <c r="O17" i="1"/>
  <c r="O23" i="1"/>
  <c r="O16" i="1"/>
  <c r="O18" i="1"/>
  <c r="O20" i="1"/>
  <c r="O25" i="1"/>
  <c r="O22" i="1"/>
  <c r="O24" i="1"/>
  <c r="O21" i="1"/>
  <c r="O15" i="1"/>
  <c r="O19" i="1"/>
  <c r="P18" i="1" l="1"/>
  <c r="Q18" i="1" s="1"/>
  <c r="P22" i="1"/>
  <c r="Q22" i="1" s="1"/>
  <c r="P15" i="1"/>
  <c r="Q15" i="1" s="1"/>
  <c r="P23" i="1"/>
  <c r="Q23" i="1" s="1"/>
  <c r="AG23" i="1" s="1"/>
  <c r="AG24" i="1" s="1"/>
  <c r="P20" i="1"/>
  <c r="Q20" i="1" s="1"/>
  <c r="AG20" i="1" s="1"/>
  <c r="AF20" i="1" s="1"/>
  <c r="P17" i="1"/>
  <c r="Q17" i="1" s="1"/>
  <c r="AG17" i="1" s="1"/>
  <c r="P24" i="1"/>
  <c r="Q24" i="1" s="1"/>
  <c r="P25" i="1"/>
  <c r="Q25" i="1" s="1"/>
  <c r="AG25" i="1" s="1"/>
  <c r="AF25" i="1" s="1"/>
  <c r="P16" i="1"/>
  <c r="Q16" i="1" s="1"/>
  <c r="P21" i="1"/>
  <c r="Q21" i="1" s="1"/>
  <c r="AG21" i="1" s="1"/>
  <c r="M25" i="1"/>
  <c r="M21" i="1"/>
  <c r="AC21" i="1" s="1"/>
  <c r="AE21" i="1" s="1"/>
  <c r="AC22" i="1" s="1"/>
  <c r="AD22" i="1" s="1"/>
  <c r="M24" i="1"/>
  <c r="AC19" i="1"/>
  <c r="P19" i="1"/>
  <c r="M17" i="1"/>
  <c r="AC17" i="1" s="1"/>
  <c r="AC23" i="1"/>
  <c r="AE23" i="1" s="1"/>
  <c r="AC24" i="1" s="1"/>
  <c r="M20" i="1"/>
  <c r="AC20" i="1" s="1"/>
  <c r="M18" i="1"/>
  <c r="Y13" i="1"/>
  <c r="AF23" i="1" l="1"/>
  <c r="AF24" i="1"/>
  <c r="AF21" i="1"/>
  <c r="AG22" i="1"/>
  <c r="AF22" i="1" s="1"/>
  <c r="AH22" i="1" s="1"/>
  <c r="AF17" i="1"/>
  <c r="AG18" i="1"/>
  <c r="AF18" i="1" s="1"/>
  <c r="R18" i="1"/>
  <c r="R16" i="1"/>
  <c r="R23" i="1"/>
  <c r="R20" i="1"/>
  <c r="R15" i="1"/>
  <c r="R21" i="1"/>
  <c r="R22" i="1"/>
  <c r="R17" i="1"/>
  <c r="R24" i="1"/>
  <c r="R25" i="1"/>
  <c r="AE22" i="1"/>
  <c r="AD21" i="1"/>
  <c r="AE24" i="1"/>
  <c r="AC25" i="1" s="1"/>
  <c r="AD25" i="1" s="1"/>
  <c r="AH25" i="1" s="1"/>
  <c r="AD24" i="1"/>
  <c r="AD23" i="1"/>
  <c r="AE19" i="1"/>
  <c r="AD19" i="1"/>
  <c r="Q19" i="1"/>
  <c r="AG19" i="1" s="1"/>
  <c r="AF19" i="1" s="1"/>
  <c r="R19" i="1"/>
  <c r="AE17" i="1"/>
  <c r="AD17" i="1"/>
  <c r="AE20" i="1"/>
  <c r="AD20" i="1"/>
  <c r="AH20" i="1" s="1"/>
  <c r="AC18" i="1" l="1"/>
  <c r="AD18" i="1" s="1"/>
  <c r="AH18" i="1" s="1"/>
  <c r="AH23" i="1"/>
  <c r="AH21" i="1"/>
  <c r="AH17" i="1"/>
  <c r="AH24" i="1"/>
  <c r="AE18" i="1"/>
  <c r="AE25" i="1"/>
  <c r="AH19" i="1"/>
  <c r="F221" i="13"/>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L13" i="1" l="1"/>
  <c r="V13" i="1"/>
  <c r="M13" i="1" l="1"/>
  <c r="AC13" i="1" s="1"/>
  <c r="AD13" i="1" l="1"/>
  <c r="AE13" i="1"/>
  <c r="AC14" i="1" s="1"/>
  <c r="AE14" i="1" l="1"/>
  <c r="AC15" i="1" s="1"/>
  <c r="AD1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15" i="1" l="1"/>
  <c r="AC16" i="1" s="1"/>
  <c r="AD15" i="1"/>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D16" i="1" l="1"/>
  <c r="AE16"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O13" i="1" l="1"/>
  <c r="P13" i="1" s="1"/>
  <c r="R13" i="1" s="1"/>
  <c r="O14" i="1"/>
  <c r="P14" i="1" s="1"/>
  <c r="Q14" i="1" l="1"/>
  <c r="R14" i="1"/>
  <c r="L6" i="18"/>
  <c r="AD38" i="18"/>
  <c r="AJ6" i="18"/>
  <c r="R22" i="18"/>
  <c r="AJ30" i="18"/>
  <c r="X14" i="18"/>
  <c r="L38" i="18"/>
  <c r="L30" i="18"/>
  <c r="L14" i="18"/>
  <c r="X6" i="18"/>
  <c r="R30" i="18"/>
  <c r="R6" i="18"/>
  <c r="X30" i="18"/>
  <c r="AD6" i="18"/>
  <c r="AD22" i="18"/>
  <c r="R38" i="18"/>
  <c r="AJ14" i="18"/>
  <c r="L22" i="18"/>
  <c r="AJ22" i="18"/>
  <c r="Q13" i="1"/>
  <c r="AG13" i="1" s="1"/>
  <c r="AD14" i="18"/>
  <c r="R14" i="18"/>
  <c r="X22" i="18"/>
  <c r="X38" i="18"/>
  <c r="AJ38" i="18"/>
  <c r="AD30" i="18"/>
  <c r="AF13" i="1" l="1"/>
  <c r="V17" i="19" s="1"/>
  <c r="AG14" i="1"/>
  <c r="AG15" i="1" s="1"/>
  <c r="AH13" i="1"/>
  <c r="AH37" i="19"/>
  <c r="J27" i="19"/>
  <c r="P7" i="19"/>
  <c r="AB47" i="19"/>
  <c r="P17" i="19"/>
  <c r="J37" i="19"/>
  <c r="V7" i="19"/>
  <c r="AB37" i="19"/>
  <c r="AH17" i="19"/>
  <c r="V37" i="19"/>
  <c r="P47" i="19"/>
  <c r="V27" i="19"/>
  <c r="V47" i="19"/>
  <c r="AB27" i="19"/>
  <c r="P27" i="19"/>
  <c r="P37" i="19"/>
  <c r="AB17" i="19"/>
  <c r="AB7" i="19"/>
  <c r="AH7" i="19"/>
  <c r="AH27" i="19"/>
  <c r="J17" i="19"/>
  <c r="J47" i="19"/>
  <c r="AH47" i="19" l="1"/>
  <c r="J7" i="19"/>
  <c r="AF14" i="1"/>
  <c r="AH14" i="1" s="1"/>
  <c r="AG16" i="1"/>
  <c r="AF16" i="1" s="1"/>
  <c r="AH16" i="1" s="1"/>
  <c r="AF15" i="1"/>
  <c r="AH15"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<sst xmlns="http://schemas.openxmlformats.org/spreadsheetml/2006/main" count="619" uniqueCount="360">
  <si>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</si>
  <si>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</si>
  <si>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</si>
  <si>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</si>
  <si>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</si>
  <si>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</si>
  <si>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</si>
  <si>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</si>
  <si>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</si>
  <si>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</si>
  <si>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</si>
  <si>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</si>
  <si>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</si>
  <si>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</si>
  <si>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</si>
  <si>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</si>
  <si>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</si>
  <si>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</si>
  <si>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</si>
  <si>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</si>
  <si>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</si>
  <si>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</si>
  <si>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</si>
  <si>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</si>
  <si>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</si>
  <si>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</si>
  <si>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</si>
  <si>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</si>
  <si>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</si>
  <si>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</si>
  <si>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</si>
  <si>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</si>
  <si>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</si>
  <si>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</si>
  <si>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</si>
  <si>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</si>
  <si>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</si>
  <si>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</si>
  <si>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</si>
  <si>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</si>
  <si>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</si>
  <si>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</si>
  <si>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</si>
  <si>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</si>
  <si>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</si>
  <si>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</si>
  <si>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</si>
  <si>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</si>
  <si>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</si>
  <si>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</si>
  <si>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</si>
  <si>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</si>
  <si>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</si>
  <si>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</si>
  <si>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</si>
  <si>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</si>
  <si>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</si>
  <si>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</si>
  <si>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</si>
  <si>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</si>
  <si>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</si>
  <si>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</si>
  <si>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</si>
  <si>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</si>
  <si>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</si>
  <si>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</si>
  <si>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</si>
  <si>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</si>
  <si>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</si>
  <si>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</si>
  <si>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</si>
  <si>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</si>
  <si>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</si>
  <si>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</si>
  <si>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</si>
  <si>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</si>
  <si>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</si>
  <si>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</si>
  <si>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</si>
  <si>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</si>
  <si>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</si>
  <si>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</si>
  <si>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</si>
  <si>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</si>
  <si>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</si>
  <si>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</si>
  <si>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</si>
  <si>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</si>
  <si>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</si>
  <si>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</si>
  <si>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</si>
  <si>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</si>
  <si>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</si>
  <si>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</si>
  <si>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</si>
  <si>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</si>
  <si>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</si>
  <si>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</si>
  <si>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</si>
  <si>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</si>
  <si>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</si>
  <si>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</si>
  <si>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</si>
  <si>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</si>
  <si>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</si>
  <si>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</si>
  <si>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</si>
  <si>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</si>
  <si>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</si>
  <si>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</si>
  <si>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</si>
  <si>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</si>
  <si>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</si>
  <si>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</si>
  <si>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</si>
  <si>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</si>
  <si>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</si>
  <si>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</si>
  <si>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</si>
  <si>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</si>
  <si>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</si>
  <si>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</si>
  <si>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</si>
  <si>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</si>
  <si>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</si>
  <si>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</si>
  <si>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</si>
  <si>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</si>
  <si>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</si>
  <si>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</si>
  <si>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</si>
  <si>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</si>
  <si>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</si>
  <si>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</si>
  <si>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</si>
  <si>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</si>
  <si>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</si>
  <si>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</si>
  <si>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</si>
  <si>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</si>
  <si>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</si>
  <si>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</si>
  <si>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</si>
  <si>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</si>
  <si>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</si>
  <si>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</si>
  <si>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</si>
  <si>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</si>
  <si>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</si>
  <si>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</si>
  <si>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</si>
  <si>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</si>
  <si>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</si>
  <si>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</si>
  <si>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</si>
  <si>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</si>
  <si>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</si>
  <si>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</si>
  <si>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</si>
  <si>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</si>
  <si>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</si>
  <si>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</si>
  <si>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</si>
  <si>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</si>
  <si>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</si>
  <si>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</si>
  <si>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</si>
  <si>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</si>
  <si>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</si>
  <si>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</si>
  <si>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</si>
  <si>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</si>
  <si>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</si>
  <si>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</si>
  <si>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</si>
  <si>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</si>
  <si>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</si>
  <si>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</si>
  <si>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</si>
  <si>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</si>
  <si>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</si>
  <si>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</si>
  <si>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</si>
  <si>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</si>
  <si>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</si>
  <si>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</si>
  <si>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</si>
  <si>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</si>
  <si>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</si>
  <si>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</si>
  <si>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</si>
  <si>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</si>
  <si>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</si>
  <si>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</si>
  <si>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</si>
  <si>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</si>
  <si>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</si>
  <si>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</si>
  <si>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</si>
  <si>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</si>
  <si>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</si>
  <si>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</si>
  <si>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</si>
  <si>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</si>
  <si>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</si>
  <si>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</si>
  <si>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</si>
  <si>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</si>
  <si>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</si>
  <si>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</si>
  <si>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</si>
  <si>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</si>
  <si>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</si>
  <si>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</si>
  <si>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</si>
  <si>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</si>
  <si>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</si>
  <si>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</si>
  <si>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</si>
  <si>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</si>
  <si>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</si>
  <si>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</si>
  <si>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</si>
  <si>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</si>
  <si>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</si>
  <si>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</si>
  <si>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</si>
  <si>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</si>
  <si>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</si>
  <si>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</si>
  <si>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</si>
  <si>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</si>
  <si>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</si>
  <si>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</si>
  <si>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</si>
  <si>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</si>
  <si>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</si>
  <si>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</si>
  <si>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</si>
  <si>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</si>
  <si>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</si>
  <si>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</si>
  <si>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</si>
  <si>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</si>
  <si>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</si>
  <si>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</si>
  <si>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</si>
  <si>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</si>
  <si>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</si>
  <si>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</si>
  <si>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</si>
  <si>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</si>
  <si>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 xml:space="preserve">Formar personas integrales, creativas y competentes en los niveles técnico, tecnológica y de ingeniería, capaces de solucionar problemas a través de la investigación aplicada </t>
  </si>
  <si>
    <t>Inicia con el diseño curricular y finaliza con la graduación de los estudiantes en los respectivos niveles.</t>
  </si>
  <si>
    <t>Syllabus actualizados</t>
  </si>
  <si>
    <t>Afectación de la imagen de la Escuela por incumplimiento del plan de estudios</t>
  </si>
  <si>
    <t xml:space="preserve">Realizar las jornadas pedagógicas según la programación </t>
  </si>
  <si>
    <t>Vicerrectoría Académica</t>
  </si>
  <si>
    <t>Lista de asistencia a las jornadas pedagógicas realizadas</t>
  </si>
  <si>
    <t>Las decanaturas validan que el desarrollo de los contenidos registrados por el docente en el formato diario de control de asistencia de profesores  corresponde al syllabus</t>
  </si>
  <si>
    <t>Documento donde se relaciona el cumplimiento del syllabus tomando una muestra del 5% de las asignaturas de cada programa</t>
  </si>
  <si>
    <t>Responsable de Biblioteca</t>
  </si>
  <si>
    <t xml:space="preserve">El responsable de biblioteca cuando detecta indisponibilidad  de la plataforma Koha se comunica con Metablibioteca (proveedor) para el respectivo soporte de la plataforma
</t>
  </si>
  <si>
    <t>Renovar cada año el contrato de soporte y mantenimiento de la plataforma Koha</t>
  </si>
  <si>
    <t>Afectación de la imagen de la Escuela por falta del servicio de biblioteca digital</t>
  </si>
  <si>
    <t>Posibilidad de pérdida de imagen por no contar con bibliografía actualizada</t>
  </si>
  <si>
    <t xml:space="preserve">Pérdida de imagen institucional y
Sanciones disciplinarias por modificar calificaciones de estudiantes
</t>
  </si>
  <si>
    <t xml:space="preserve">Conservar la información digital en el Onedrive de acuerdo a los lineamientos definidos en el procedimiento GIC-PC-05 </t>
  </si>
  <si>
    <t>Solicitar a través de mesa de ayuda la instalación de control de acceso a las áreas que lo requieren al igual que la reparación de la seguridad de los archivadores</t>
  </si>
  <si>
    <t>Pérdida de imagen institucional y sanciones por entes competentes por
el inadecuado uso de la información académica</t>
  </si>
  <si>
    <t xml:space="preserve">Probabilidad de pérdida de imagen institucional y de sanciones por los entes competentes por pérdida de información académica o por reproducción y distribución no autorizada de la información
</t>
  </si>
  <si>
    <t>DOCENCIA PROGRAMAS DE EDUCACIÓN SUPERIOR (DOCENCIA PES)</t>
  </si>
  <si>
    <t>Posibilidad de  detrimento patrimonial por deterioro o pérdida de material bibliográfico</t>
  </si>
  <si>
    <t>1.Registro del soporte brindado por parte del proveedor.
2. Contrato vigente de acceso, uso y mantenimiento de la biblioteca digital</t>
  </si>
  <si>
    <t xml:space="preserve">Probabilidad de pérdida de imagen de la Escuela por interrupción del servicio de biblioteca digital </t>
  </si>
  <si>
    <t xml:space="preserve">Debido a:
1. Indisponibilidad del sistema Koha para el registro del uso del material bibliográfico
2. Mal funcionamiento de las antenas Evolve, de acceso y salida de la Biblioteca. </t>
  </si>
  <si>
    <t>Posibilidad de pérdida económica por detrimento patrimonial y/o afectación del  servicio de biblioteca por deterioro o pérdida de material bibliográfico</t>
  </si>
  <si>
    <t>Debido a:
1. Las Decanaturas y docentes  no solicitan al inicio del año académico nuevas referencias bibliográficas de acuerdo a los syllabus aprobados</t>
  </si>
  <si>
    <t>Utilizar Office 365 para conservar y consultar en el  Onedrive  los documentos generados por  los  integrantes del equipo de trabajo de docencia PES, debidamente sincronizados 
de acuerdo a los lineamientos definidos en el procedimiento GIC-PC-05</t>
  </si>
  <si>
    <t>Solicitar cada año el material bibliográfico requerido según los syllabus aprobados</t>
  </si>
  <si>
    <t>Responsbale de Registro y Control</t>
  </si>
  <si>
    <t>Debido a:
1.Debilidad en la aplicación del sistema de gestión documental de acuerdo a la TRD definida para el proceso
2. Trabajar la información por fuera del Onedrive.
3. Inseguridad en archivadores y accesos</t>
  </si>
  <si>
    <t>Información digital organziada en el Onedrive.</t>
  </si>
  <si>
    <t xml:space="preserve">La Vicerrectoría Académica programa las Jornadas pedagógicas de inicio de semestre con docentes y se apoya en los coordinadores de áreas académicas, bienestar universitario, decanaturas y otras áreas requeridas. </t>
  </si>
  <si>
    <t xml:space="preserve">Por inclumplimiento en el desarrollo del calendario académico o del plan de estudios debido a:
1. Profesores desinformados
2. Syllabus desactualizados
3. Docentes no desarrollan adecuadamente los syllabus
4. Incumplimiento en las fechas del calendario académico por eventos externos (pandemia, paros, orden público) </t>
  </si>
  <si>
    <t>Las decanaturas consolidan el repositorio de syllabus actulizados</t>
  </si>
  <si>
    <t>Mantener actualizado los Syllabus de las diferentes áreas académicas</t>
  </si>
  <si>
    <t>Decanaturas</t>
  </si>
  <si>
    <t>La Vicerrectoría Académica evalúa la situación y propone a la Rectoría y/o al Consejo académico, el ajuste en el calendario y las herramientas a utilizar</t>
  </si>
  <si>
    <t>Circular, instrucción, acta o acuerdo correspondiente emitido por la autoridad competente</t>
  </si>
  <si>
    <t xml:space="preserve">Seguimiento a las disposiciones de las autoridades nacionales y locales respecto a la situación eventual presentada </t>
  </si>
  <si>
    <t>Registro del soporte brindado por parte de Metabiblioteca.
Contrato de acceso, uso y mantenimiento de la plataforma Koha</t>
  </si>
  <si>
    <t>El responsable de biblioteca gestiona con el área de infraestructura lo correspondiente al mantenimiento preventivo y correctivo de las antenas Evolve de entrada y salida de biblioteca</t>
  </si>
  <si>
    <t xml:space="preserve">Soporte de la gestión adelantada </t>
  </si>
  <si>
    <t>Por pérdida de imagen de la Escuela por interrupción del servicio de biblioteca digital por:
1. Indisponibilidad del sistema de biblioteca digital (fallas tecnológicas)</t>
  </si>
  <si>
    <t>Renovar el contrato de uso, soporte y mantenimiento de la plataforma de biblioteca digital</t>
  </si>
  <si>
    <t>Posibilidad de pérdida de imagen por impartir las clases con bibliografía desactualizada con relación a los syllabus aprobados</t>
  </si>
  <si>
    <t xml:space="preserve">Las áreas académicas junto con los decanos definen las necesidades del material bibliográfico de acuerdo con los syllabus </t>
  </si>
  <si>
    <t>Correo electrónico por parte de cada decano solicitando el material bibliográfico requerido</t>
  </si>
  <si>
    <t>Probabiliad de pérdida de imagen institucional y reprocesos internos por incumplimiento en el cargue oportuno de calificaciones en el sistema por parte de los profesores</t>
  </si>
  <si>
    <t>Por:
1. El profesor no cumple los calendarios académicos
2. Falta de apropiación y conocimiento del usuario frente a la plataforma Academusoft</t>
  </si>
  <si>
    <t>Las decanaturas hacen seguimiento al cumplimiento del registro oportuno de notas por parte del profesor</t>
  </si>
  <si>
    <t>Correo electrónico de seguimiento</t>
  </si>
  <si>
    <t>Monitoreo para cada corte de notas en cada semestre</t>
  </si>
  <si>
    <t>El Área de Registro y Control informa a  profesores sobre la herramienta Academusoft.</t>
  </si>
  <si>
    <t>Conservar la información física según la TRD de Registro y Control</t>
  </si>
  <si>
    <t>Archivo de carpetas (de estudiantes) en debida forma de acuerdo a la TRD de Registro y Control</t>
  </si>
  <si>
    <t>Crear las carpetas de estudiantes nuevos según la TRD</t>
  </si>
  <si>
    <t xml:space="preserve">Realizar inducción sobre el manejo de la plataforma Academusoft para profesores nuevos </t>
  </si>
  <si>
    <t>Líderes de Área de Trabajo</t>
  </si>
  <si>
    <t>Reportes de mesa de ayuda, evidencia de adecuaciones y reparaciones</t>
  </si>
  <si>
    <t>1.Planilla de registro de los profesores que reciben usuario y contraseña
2. Correo con entrega de instructivo</t>
  </si>
  <si>
    <t>Actualmente se está realizando la actualización de los syllabus, y paralelamente se está recopliando la bibliografía para enviar al área de biblioteca y validar qué hay en existencia y qué libros es necesario adquirir</t>
  </si>
  <si>
    <t>Gestionar el aseguramiento del  mantenimiento de las antenas Evolve</t>
  </si>
  <si>
    <t>El responsable del área de biblioteca informó que en el primer trimestre del año 2022 se presentó una falla en la página de la biblioteca en la que está disponible el catálogo en línea que se enlaza con el sistema Koha, se reportó el incidente y recibimos el soporte y solución correspondiente. Para la óptima prestación de los servicios bibliotecarios se hace un seguimiento diario del acceso a los recursos y posibles interrupciones para proceder a restablecer y dar una solución inmediata.
Para este año se encuentra vigente el contrato de la plataforma Koha</t>
  </si>
  <si>
    <t>El responsable de biblioteca informá que desde la reactivación de prestación del servicio de forma presencial no se han presentado fallas. Se continuará haciendo monitoreo diario sobre las interrupciones que se presenten y dar una solución. Cabe señalar que las antenas, por los años de servicio que tienen, en algunas ocasiones fallan, por tanto, se tiene proyectado hacer un cambio al sistema de seguridad general de las colecciones.</t>
  </si>
  <si>
    <t>El responsable de bibliotecca informa qu en el primer trimestre del 2022, se implementó el sistema proxy para la biblioteca digital, facilitando así el acceso a las bases de datos suscritas por la ETITC, el cual se realiza con un proceso de autenticación única con el correo electrónico institucional.
 Durante el proceso de implementación hubo pequeñas interrupciones en el servicio, sin embargo, finalmente todo quedó en funcionamiento. Se continuará haciendo monitoreo sobre las interrupciones que haya lugar para dar una óptima solución.</t>
  </si>
  <si>
    <t xml:space="preserve">El responsable del área de Registro y Control informó que teniendo en cuenta la ubicación temporal asignada a las áreas de la Vicerrectoría Académica, es necesario esperar que se completen las obras para cumplir con este control de acceso a las áreas.
En cuanto a la jornada de sensibilización en seguridad de la información se programará para mayo como está previsto en el plan de acción
</t>
  </si>
  <si>
    <t>El responsable del área de Registro y Control informó que el archivo de gestión se encuentra en el área de registro y control, allí se almacenan los expedientes académicos de los estudiantes activos de los programas de educación superior y bachillerato Técnico Industrial. A la fecha el espacio reservado para tal fin se encuentra al tope, a raíz de la emergencia sanitaria se recibió en formato digital los documentos solicitados para la matrícula los cuales se encuentran alojados en OneDrive.
Con el retorno a la presencialidad se recibió la documentación en físico acorde a los estipulado en la TRD y se ha estado organizando el archivo para cada programa y ciclo, hasta donde, por temas de espacio, se ha podido avanzar.</t>
  </si>
  <si>
    <t>Se evidencia documentación debidamente alojada en OneDrive. Corresponde a los semestres académicos 2020-2, 2021-1, 2021-2, al igual que quienes ingresan al programa de Jóvenes ALaU semestre 2021-2. Se encuentran Estructurados en subcarpetas por programa.</t>
  </si>
  <si>
    <t xml:space="preserve">Los decanos realizan monitoreo para cada corte de notas en cada semestre y y validan en la plataforma los que se encuentran pendientes y envían correo a los profesores para dar cumplimiento a esta actividad. </t>
  </si>
  <si>
    <t xml:space="preserve">Verificar el cumplimiento de los contenidos en los syllabus, 2  veces en el semestre. Generar acta </t>
  </si>
  <si>
    <t>Las jornadas pedagógicas del periodo académico 2022-1, iniciaron el 11/01/2022 y se extendieron hasta el 28/01/2022. Con la participación de 120 personas (docentes:111; administrativos:6; Otros: 3) 
Cumplido primer semestre 
Riesgo no materializado</t>
  </si>
  <si>
    <t>Posibilidad de afectación reputacional por inclumplimiento de los planes de estudio debido al incumplimiento en el desarrollo del calendario académico.</t>
  </si>
  <si>
    <t>Dado que a la fecha solo se presentó un evento (marchas paro nacional) los días 28 y 29 de abril, el rector firmó un comunicado de Rectoría para realizar las actividades de forma remota sincrónica, con lo cual no se afectó el cumplimiento del calendario académico</t>
  </si>
  <si>
    <t xml:space="preserve">El responsable de biblioteca cuando detecta indisponibilidad  de la biblioteca digital, se comunica con los proveedores  para el respectivo soporte técnico y solución del evento presentado
</t>
  </si>
  <si>
    <t>Los decanos realizan el seguimiento a los profesores del cumplimiento de los syllabus. 
Se valida con la Decanatura de Procesos Industriales, observando que: Al inicio del semestre se 
comparte el syllabus correspondiente a la carga académica con los docentes.
Se procede a cotejar de manera aleatoria 4 asignaturas correspondiente al 5,6% del total, contra las 
planillas de asistencia del 19 de abril de 2022.
Los resultados se 
analizaron mediante acta 
de auditoría a clases No. 
2022-1, (ver anexo).
Se encontró que los 
docentes seleccionados 
están cumpliendo con 
desarrollar los temas 
propuestos en el sylabus
Riesgo no materializado</t>
  </si>
  <si>
    <t>Está en curso la revisión preliminar de los syllabus para realizar  el diagnóstico.
Profesional Curricular para la actualización de los Syllabus. 
Contrato # 091-2022
Riesgo no materializado</t>
  </si>
  <si>
    <r>
      <t xml:space="preserve">El responsable del área de Registro y Control informó que la inducción se cumplió para el primer semestre de forma personalizada. Los docentes se acercan al área de Registro y Control, reciben capacitación en relación al ingreso, registro de notas, evaluación docente a través del sistema académico Academusoft. A través de las decanaturas se les hace entrega a los docentes del instructivo donde se detalla el paso a paso a seguir.
</t>
    </r>
    <r>
      <rPr>
        <b/>
        <sz val="12"/>
        <color theme="1"/>
        <rFont val="Calibri"/>
        <family val="2"/>
        <scheme val="minor"/>
      </rPr>
      <t xml:space="preserve">Se validó el correo enviado con el instructivo. </t>
    </r>
    <r>
      <rPr>
        <sz val="12"/>
        <color theme="1"/>
        <rFont val="Calibri"/>
        <family val="2"/>
        <scheme val="minor"/>
      </rPr>
      <t xml:space="preserve">
Se diseñó formato nuevo para evidenciar el cumplimiento  y ya está en proceso de publicación. El formato está en proceso de aprobación</t>
    </r>
  </si>
  <si>
    <r>
      <rPr>
        <b/>
        <sz val="12"/>
        <color theme="9" tint="-0.249977111117893"/>
        <rFont val="Calibri"/>
        <family val="2"/>
        <scheme val="minor"/>
      </rPr>
      <t xml:space="preserve">*Nota: </t>
    </r>
    <r>
      <rPr>
        <sz val="12"/>
        <color theme="1"/>
        <rFont val="Calibri"/>
        <family val="2"/>
        <scheme val="minor"/>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</si>
  <si>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2"/>
        <rFont val="Calibri"/>
        <family val="2"/>
        <scheme val="minor"/>
      </rPr>
      <t>LIDER DEL PROCESO:</t>
    </r>
    <r>
      <rPr>
        <sz val="12"/>
        <rFont val="Calibri"/>
        <family val="2"/>
        <scheme val="minor"/>
      </rPr>
      <t xml:space="preserve">  MIGUEL ANTONIO MORALES BELTRÁN</t>
    </r>
  </si>
  <si>
    <t>Las jornadas pedagógicas para el 2° semestre fueron realizadas del 18 al 29 de julio. Durante esta actividad se entregaron lineamientos frente a los procesos de aprendizaje, resultados de aprendizaje, herramientas para docentes, y actividades de bienestar académico.  Se muestra como evidencia las listas de asistencias. 
Riesgo no materializado</t>
  </si>
  <si>
    <t xml:space="preserve">Desde el Despacho de la Vicerrectoría se desarrolló y finalizo el diagnóstico de los syllabus, este se ejecutó de manera aleatoria. 
En el marco del Decreto 1330 y de la actualización de los Syllabus, se tienen en cuenta los nuevos lineamientos y se incorporan temas de Resultados de aprendizaje, con miras a cerrar brechas en las líneas de trabajo. Los Syllabus serán actualizados acorde a la actualización de los programas.
Riesgo no materializado a la fecha
</t>
  </si>
  <si>
    <t>Desde las diferentes Decanaturas se realiza una revisión de la actualización de los Syllabus, se realizan revisiones continuas de la realización de las actividades acordes a lo programado para cada plan de estudios. 
Riesgo no materializado a la fecha</t>
  </si>
  <si>
    <t xml:space="preserve">Durante el últimi trimestre no se han presentado situaciones externas que impacten el correcto desarrollo del Cronograma académico. Riesgo no materializado a la fecha </t>
  </si>
  <si>
    <t xml:space="preserve">Desde el área de menciona que las antenas funcionan para las tareas básicas, sin embargo, no se realiza un mantenimiento preventivo al estos equipos.
Se proyecta realizar las actividades precontractuales a lugar. </t>
  </si>
  <si>
    <t>Desde el área se menciona que se envio el formato "Formato de requerimiento y catalogo de solicitud" (1° de agosto), mediante el cual se puede identificar las necesidades de los Syllabus con relación a los recursos bibliograficos, sin embargo a la fecha no se ha recibido respuesta. 
Riesgo no materializado a la fecha.
.</t>
  </si>
  <si>
    <t>Desde el área se menciona que existe los contratos que permiten mantener la biblioteca digital acorde a las necesidades institcinales, se verifica esta información con documentos contractuales: Cto- 253-2021,  Cto-238 -2021.  
Riesgo no materializado a la fecha.</t>
  </si>
  <si>
    <t xml:space="preserve">A través de la plataforma de la biblioteca institucional se muestra el correcto funcionamiento de los recursos a lugar, esto acosde a los documentos de inicio de los respectivos documentos del contrato (CTO-264-2021).  
Se informa que desde el área se ha solicitado soporte a inconvenientes de la plataforma institucional, desde Metabiblioteca se han prestado 8 actividades (tecnicas y de capacitación).
Riesgo no materializado a la fecha. </t>
  </si>
  <si>
    <t xml:space="preserve">Por parte de los docentes se envia correo eléctronico una vez se realiza el cargue de las notas, según los timepos obligatorios. Como evidencia se muestran los correo de comunicación entre Decanos y docentes.
Riesgo no materializado a la fecha. </t>
  </si>
  <si>
    <t xml:space="preserve">Desde el área de Registro y Control se informa que durante el 1° semestre de la vigencia 10 docentes nuevos se acercaron al área con el fin de recibir información y capacitación acerca del manejo de la Plataforma Academusoft, sin embargo, no se presenta evidencia de estos espacios de capacitación. Se evidencia de manera parcial al total de docentes en mención, el envió del documento "instructivo plataforma Academusoft".
Riesgo no materializado a la fecha. </t>
  </si>
  <si>
    <t xml:space="preserve">El área de Registro y control informa que se crean carpetas que resguardan la información de los estudiantes tanto antiguos como nuevos acorde a la TRD de área (Información física). La instalaciones de dichas carpetas cuentan con las condiciones adecuadas para su resguardo y uso adecuado. Se verifica la información in citu. 
Riesgo no materializado a la fecha. </t>
  </si>
  <si>
    <t xml:space="preserve">Validando con los integrantes del proceso, se verifica el trabajo en tiempo real, como evidencia se muestran carpetas, documentos, archivos elaborados a tarvés de los repositorios en ONE DRIVE. 
Riesgo no materializado a la fecha. </t>
  </si>
  <si>
    <t xml:space="preserve">Desde el proceso se informa que durante el últino trimestre no se ha requerido soporte por parte de la Mesa de ayuda.
Riesgo no materializado a la fecha. </t>
  </si>
  <si>
    <t>En</t>
  </si>
  <si>
    <t>Debil</t>
  </si>
  <si>
    <t>Durante el ultimo periodo, no se presentaron eventos que interfieren en la prestacion del servicio, no obstante, se cuenta con el normal funcionamiento de la ETITC en Docencia PES, situación que no permite observar su aporte en la mitigación del riesgo identificado ya que no se presentaron eventos de este tipo.</t>
  </si>
  <si>
    <t>Se cuenta con la carpeta de listas de asistencia de los profesores, así mismo, el registro cuenta con la casilla, en la cual se describe el tema tratado y firma del docente,  se cuenta con un acta de fecha del 29 de abril de 2022, seleccionadas 4 asignaturas del total de asignaturas del programa, respecto del cual se verificó el cumplimiento de los temas del syllabus, el día 3 de noviembre se analizó el seguimiento efectuado en el mes de octubre de 2022, en el que fue verificado el cumplimiento y desarrollo de los syllabus, actividad que se realiza 2 veces al semestre. actividad que contribuye con la mitigación del control.</t>
  </si>
  <si>
    <t>A través del seguimiento efectuado se evidencio que se cuenta con los syllabus por semestres, para realizar la actualización encontrando que el Syllabus correspondiente al micro currículo de Emprendimiento de la facultad de procesos industriales correspondiente al 10 semestre,  cuenta con los contenidos actualizados, así como con los capítulos, semanas de evaluaciones y porcentajes, y los recursos bibliográficos, los formatos cuentan con actualización correo de 2 de agosto de 2022, con los cambios solicitados y las adecuaciones aprobadas por calidad con fecha de julio de 2022, de otra parte, se observó el Syllabus del contenido de humanidades III el cual se encuentra pendiente por actualizar así mismo, de 7 currículos de la facultad se encuentran los semestres 4, 5, 6, 7 y 10 los cuales solo se han actualizado 2 a la fecha, se cuenta con un profesional encargado de esta actividad de actualización de los syllabus de todas las facultades, con inspección de completitud de los 426 syllabus, con la matriz de competencias y resultados de aprendizajes finalizado en el mes de octubre. actividad que contribuye con la mitigación del control.</t>
  </si>
  <si>
    <t>Se cuenta con la programación de las jornadas pedagógicas desarrolladas del 18 al 22 de julio y del 25 al 29 de julio, así mismo, se observó a través de muestra aleatoria la asistencia de los docentes que participaron en dichas jornadas con fecha 21 de julio y asistencia de 79 docentes en la jornada de creatividad y desarrollo tecnológico parte 1 conceptualización y fue evidenciado el soporte completo de las planillas de asistencia, por cada día desarrollado. actividad que contribuye con la mitigación del control.</t>
  </si>
  <si>
    <t>Mediante el seguimiento efectuado se observo que, a través del Contrato 264-2021, se dio cumplimiento con el servicio prestado para la plataforma Koha, el cual finalizó en el mes de septiembre de 2022, sin embargo, se suscribio el contrato 218-2022 el cual se encuentra en ejecución desde  agosto de 2022, se realizan monitoreos remotos, quienes cuentan con la obligación establecida mediante el contrato, con el fin de contar con los accesos a consultas de libros digitales y plataformas educativas. no obstante, se recomienda contar con soportes de monitoreo realizado. asi mismo, se observa debilidad en el seguimiento por parte del supervisor de los contratos y se requiere fortalecimiento de asesoria en la gestión de supervision de contratos de este tipo con el area de Gestión de Adquisiones.</t>
  </si>
  <si>
    <t xml:space="preserve">A partir del seguimiento efectuado no se evidencia ejecución de la actividad de control, sin embargo, se cuenta con la proyección de nuevos sistemas a través de los cuales se pueda mitigar el riesgo, no obstante, la plataforma cuenta con el respaldo para el prestamo de material bibliografico. Observando de esta forma que el control propuesto para contribuir con la mitigación del riesgo no es el apropiado y requiere modificación, asi mismo, se requiere la ejecución de la actividad, por lo que a pesar de no presentarse la  materialización del riesgo se presenta riesgo de  posible materialización por falta de fortalecimiento en el control de salida de material bibliografico.  </t>
  </si>
  <si>
    <t xml:space="preserve"> Por medio del seguimiento efectuado, se evidencio que la entidad cuenta con E-boock 724,  software que permite contar con metabiblioteca,  a través del cual es administrado para el acceso a la consulta de textos, actualmente no se cuenta con el contrato para el acceso a la biblioteca digital, el Cto-253-2021 finalizo 5 de septiembre de 2022, asi mismo, se cuenta con libros de acceso libre, a pesar de no contar con el contrato renovado.  no se realizan gestiones de prevención  en cuanto a la afectación  del servicio a la comunidad educativa, Mc Graw Hill - CDP 28822 del 11 de octubre de 2022 por valor de $13.526.380, el cual va a ser renovado.
no osbtante, a pesar de no materializarse el riesgo no se evidencia gestion de radicación de estudios previos para  garantizar la suscripción de contrato que contribuya con la prestación del servicio por lo que el control es debil en su ejecución.</t>
  </si>
  <si>
    <t>Por medio del seguimiento efectuado, no fue posible evidenciar los correos electrónicos remitidos por las decanaturas, una vez actualizados los syllabus, sin embargo, se llevó a cabo una feria editorial en la que participaron los docentes y los decanos de las facultades con el fin de observar que necesidades bibliográficas se presentan previo a la actualización de los syllabus, así mismo, se cuenta con la proyección de inversión de recursos para la compra de libros digitales, de igual modo, se cuenta con la lista de textos identificados como soporte académico en los syllabus por cada decanatura en una herramienta excel, de igual modo, se realizó el estudio de mercado y verificación realizada por la biblioteca del material bibliográfico requerido, así como, las observaciones al respecto. Actividad que contribuyue con la mitigación del riesgo identificado.</t>
  </si>
  <si>
    <t>A partir del seguimiento efectuado se evidencio que, el registro de notas se realiza por medio del correo electrónico y a través de redes sociales como whatsapp se reiteran las solicitudes y generan recordatorios del comunicado a los profesores en el cumplimiento de los tiempos establecidos para el reporte de notas en el sistema Gnosoft, así mismo, se cuenta con la profesional de apoyo quien remite los listados de los docentes y profesionales de apoyo con el fin de prevenir la materialización de falta de reporte de notas a los estudiantes en el tiempo de fecha establecida. Actividad que contribuye con la mitigación del riesgo identificado.</t>
  </si>
  <si>
    <t>A partir del seguimiento efectuado, se evidencio la planilla física de 5 registros de docentes a quienes se les indico el instructivo de la herramienta Academusoft,  de igual modo, para los docentes nuevos que se vincularon para el segundo semestre de la vigencia a la Entidad se observó la planilla con 4 asistentes,  la cual fue desarrollada del 29 al 31 de agosto, adicionalmente, se cuenta con la reunión realizada por teams para impartir la jornada de inducción e indicaciones de instruir a los docentes a cerca del manejo en el aplicativo Academusoft. programada por la profesional de apoyo de la decanatura de mecatrónica, con la asistencia de 7 personas, desarrollada en el mes de agosto de 2022, adicional a ello se cuenta con el correo remitido en el mes de junio a un docente que solicito instrucciones en el manejo del sistema para el reporte de notas. Actividad que contribuye con la mitigación del riesgo identificado.</t>
  </si>
  <si>
    <t>A traves del seguimiento efectuado, se revisó la documentación de las carpetas identificadas con numero 22208009, 22217005, 22205086, a las cuales se les realizo la verificación de cumplimiento de los documentos requeridos para el ingreso de estudiantes  del segundo semestre de la vigencia 2022. observando el total del cumpimiento de los requisitos. Actividad que contribuye con la mitigacion del riesgo identificado.</t>
  </si>
  <si>
    <t>Por medio del seguimiento efectuado se observo que el profesional de apoyo de procesos industriales,  cuenta con la información documentada generada diariamente en el One Drive, De otra parte, se observo que el profesional de registro y control, presenta error en el manejo del one drive, del cual no fue posible evidenciar el reporte a mesa de ayuda que contribuya con  el mejoramiento en el manejo de la información generada en registro y control, actividad que se encuentra debil en su ejecución y presenta posibilidad de materialización del riesgo identificado.</t>
  </si>
  <si>
    <t>Mediante el seguimiento efectuado se evidencio que, en el periodo que comprende este seguimiento a través de mantum se realizo la solicitud en el mes de julio para la intervención por parte del area de Recursos Fisicos para efectuar el mantenimiento del area de registro y control, toda vez que presentaban filtraciones de agua en el techo, actividad que fue atendida y subsanada, lo cual contribuye con la mitigación del riesgo identificado.</t>
  </si>
  <si>
    <t>Fecha de actualización: 08/11/2022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</si>
</sst>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rgb="FF000000"/>
      <name val="Calibri"/>
      <family val="2"/>
      <scheme val="minor"/>
    </font>
    <font>
      <b/>
      <sz val="12"/>
      <color theme="0"/>
      <name val="Calibri"/>
      <family val="2"/>
      <scheme val="minor"/>
    </font>
    <font>
      <b/>
      <sz val="12"/>
      <name val="Calibri"/>
      <family val="2"/>
      <scheme val="minor"/>
    </font>
    <font>
      <b/>
      <sz val="12"/>
      <color theme="1"/>
      <name val="Calibri"/>
      <family val="2"/>
      <scheme val="minor"/>
    </font>
    <font>
      <sz val="12"/>
      <name val="Calibri"/>
      <family val="2"/>
      <scheme val="minor"/>
    </font>
    <font>
      <sz val="12"/>
      <color rgb="FFFF0000"/>
      <name val="Calibri"/>
      <family val="2"/>
      <scheme val="minor"/>
    </font>
    <font>
      <b/>
      <sz val="12"/>
      <color theme="9" tint="-0.249977111117893"/>
      <name val="Calibri"/>
      <family val="2"/>
      <scheme val="minor"/>
    </font>
    <font>
      <sz val="12"/>
      <color rgb="FF000000"/>
      <name val="Calibri"/>
      <family val="2"/>
      <scheme val="minor"/>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9" tint="-0.249977111117893"/>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3" fillId="0" borderId="0" applyFont="0" applyFill="0" applyBorder="0" applyAlignment="0" applyProtection="0"/>
    <xf numFmtId="0" fontId="45" fillId="0" borderId="0"/>
    <xf numFmtId="0" fontId="46" fillId="0" borderId="0"/>
    <xf numFmtId="0" fontId="5" fillId="0" borderId="0"/>
  </cellStyleXfs>
  <cellXfs count="416">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22" fillId="13" borderId="12"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56" fillId="0" borderId="64" xfId="0" applyFont="1" applyBorder="1" applyAlignment="1" applyProtection="1">
      <alignment horizontal="left" vertical="top" wrapText="1"/>
      <protection locked="0"/>
    </xf>
    <xf numFmtId="0" fontId="56" fillId="0" borderId="57" xfId="0" applyFont="1" applyBorder="1" applyAlignment="1" applyProtection="1">
      <alignment horizontal="left" vertical="top" wrapText="1"/>
      <protection locked="0"/>
    </xf>
    <xf numFmtId="0" fontId="57" fillId="7" borderId="21" xfId="0" applyFont="1" applyFill="1" applyBorder="1" applyAlignment="1">
      <alignment horizontal="left" vertical="top" wrapText="1"/>
    </xf>
    <xf numFmtId="0" fontId="57" fillId="7" borderId="21" xfId="0" applyFont="1" applyFill="1" applyBorder="1" applyAlignment="1">
      <alignment horizontal="left" vertical="top" textRotation="90"/>
    </xf>
    <xf numFmtId="0" fontId="57" fillId="7" borderId="71" xfId="0" applyFont="1" applyFill="1" applyBorder="1" applyAlignment="1">
      <alignment horizontal="left" vertical="top" textRotation="90"/>
    </xf>
    <xf numFmtId="0" fontId="57" fillId="7" borderId="71" xfId="0" applyFont="1" applyFill="1" applyBorder="1" applyAlignment="1">
      <alignment horizontal="left" vertical="top"/>
    </xf>
    <xf numFmtId="0" fontId="57" fillId="7" borderId="71" xfId="0" applyFont="1" applyFill="1" applyBorder="1" applyAlignment="1">
      <alignment horizontal="left" vertical="top" wrapText="1"/>
    </xf>
    <xf numFmtId="0" fontId="57" fillId="7" borderId="21" xfId="0" applyFont="1" applyFill="1" applyBorder="1" applyAlignment="1">
      <alignment horizontal="left" vertical="top" textRotation="90" wrapText="1"/>
    </xf>
    <xf numFmtId="0" fontId="57" fillId="7" borderId="71" xfId="0" applyFont="1" applyFill="1" applyBorder="1" applyAlignment="1">
      <alignment horizontal="left" vertical="top" textRotation="90" wrapText="1"/>
    </xf>
    <xf numFmtId="0" fontId="58" fillId="0" borderId="0" xfId="0" applyFont="1" applyAlignment="1">
      <alignment horizontal="left" vertical="top" wrapText="1"/>
    </xf>
    <xf numFmtId="0" fontId="34" fillId="0" borderId="0" xfId="0" applyFont="1" applyAlignment="1">
      <alignment horizontal="left" vertical="top"/>
    </xf>
    <xf numFmtId="0" fontId="56" fillId="0" borderId="57" xfId="0" applyFont="1" applyBorder="1" applyAlignment="1" applyProtection="1">
      <alignment horizontal="left" vertical="top"/>
      <protection locked="0"/>
    </xf>
    <xf numFmtId="0" fontId="58" fillId="0" borderId="57" xfId="0" applyFont="1" applyBorder="1" applyAlignment="1">
      <alignment horizontal="left" vertical="top"/>
    </xf>
    <xf numFmtId="0" fontId="58" fillId="0" borderId="63" xfId="0" applyFont="1" applyBorder="1" applyAlignment="1">
      <alignment horizontal="left" vertical="top"/>
    </xf>
    <xf numFmtId="0" fontId="34" fillId="3" borderId="0" xfId="0" applyFont="1" applyFill="1" applyAlignment="1">
      <alignment horizontal="left" vertical="top"/>
    </xf>
    <xf numFmtId="0" fontId="59" fillId="3" borderId="0" xfId="0" applyFont="1" applyFill="1" applyAlignment="1">
      <alignment horizontal="left" vertical="top"/>
    </xf>
    <xf numFmtId="0" fontId="59" fillId="2" borderId="0" xfId="0" applyFont="1" applyFill="1" applyAlignment="1">
      <alignment horizontal="left" vertical="top"/>
    </xf>
    <xf numFmtId="0" fontId="34" fillId="0" borderId="71" xfId="0" applyFont="1" applyBorder="1" applyAlignment="1" applyProtection="1">
      <alignment horizontal="left" vertical="top"/>
      <protection locked="0"/>
    </xf>
    <xf numFmtId="0" fontId="59" fillId="0" borderId="71" xfId="0" applyFont="1" applyBorder="1" applyAlignment="1" applyProtection="1">
      <alignment horizontal="left" vertical="top" wrapText="1"/>
      <protection hidden="1"/>
    </xf>
    <xf numFmtId="9" fontId="34" fillId="0" borderId="71" xfId="0" applyNumberFormat="1" applyFont="1" applyBorder="1" applyAlignment="1" applyProtection="1">
      <alignment horizontal="left" vertical="top" wrapText="1"/>
      <protection hidden="1"/>
    </xf>
    <xf numFmtId="9" fontId="34" fillId="0" borderId="71" xfId="0" applyNumberFormat="1" applyFont="1" applyBorder="1" applyAlignment="1" applyProtection="1">
      <alignment horizontal="left" vertical="top" wrapText="1"/>
      <protection locked="0"/>
    </xf>
    <xf numFmtId="9" fontId="34" fillId="0" borderId="21" xfId="0" applyNumberFormat="1" applyFont="1" applyBorder="1" applyAlignment="1" applyProtection="1">
      <alignment horizontal="left" vertical="top" wrapText="1"/>
      <protection hidden="1"/>
    </xf>
    <xf numFmtId="0" fontId="34" fillId="0" borderId="21" xfId="0" applyFont="1" applyBorder="1" applyAlignment="1">
      <alignment horizontal="left" vertical="top"/>
    </xf>
    <xf numFmtId="0" fontId="34" fillId="0" borderId="21" xfId="0" applyFont="1" applyBorder="1" applyAlignment="1" applyProtection="1">
      <alignment horizontal="left" vertical="top" wrapText="1"/>
      <protection locked="0"/>
    </xf>
    <xf numFmtId="0" fontId="34" fillId="0" borderId="21" xfId="0" applyFont="1" applyBorder="1" applyAlignment="1" applyProtection="1">
      <alignment horizontal="left" vertical="top"/>
      <protection hidden="1"/>
    </xf>
    <xf numFmtId="0" fontId="34" fillId="0" borderId="21" xfId="0" applyFont="1" applyBorder="1" applyAlignment="1" applyProtection="1">
      <alignment horizontal="left" vertical="top" textRotation="90"/>
      <protection locked="0"/>
    </xf>
    <xf numFmtId="9" fontId="34" fillId="0" borderId="21" xfId="0" applyNumberFormat="1" applyFont="1" applyBorder="1" applyAlignment="1" applyProtection="1">
      <alignment horizontal="left" vertical="top"/>
      <protection hidden="1"/>
    </xf>
    <xf numFmtId="164" fontId="34" fillId="0" borderId="21" xfId="1" applyNumberFormat="1" applyFont="1" applyBorder="1" applyAlignment="1">
      <alignment horizontal="left" vertical="top"/>
    </xf>
    <xf numFmtId="0" fontId="59" fillId="0" borderId="71" xfId="0" applyFont="1" applyBorder="1" applyAlignment="1" applyProtection="1">
      <alignment horizontal="left" vertical="top" textRotation="90" wrapText="1"/>
      <protection hidden="1"/>
    </xf>
    <xf numFmtId="0" fontId="59" fillId="0" borderId="21" xfId="0" applyFont="1" applyBorder="1" applyAlignment="1" applyProtection="1">
      <alignment horizontal="left" vertical="top" textRotation="90" wrapText="1"/>
      <protection hidden="1"/>
    </xf>
    <xf numFmtId="0" fontId="59" fillId="0" borderId="21" xfId="0" applyFont="1" applyBorder="1" applyAlignment="1" applyProtection="1">
      <alignment horizontal="left" vertical="top" textRotation="90"/>
      <protection hidden="1"/>
    </xf>
    <xf numFmtId="0" fontId="60" fillId="0" borderId="21" xfId="0" applyFont="1" applyBorder="1" applyAlignment="1" applyProtection="1">
      <alignment horizontal="left" vertical="top" wrapText="1"/>
      <protection locked="0"/>
    </xf>
    <xf numFmtId="14" fontId="60" fillId="0" borderId="21" xfId="0" applyNumberFormat="1" applyFont="1" applyBorder="1" applyAlignment="1" applyProtection="1">
      <alignment horizontal="left" vertical="top"/>
      <protection locked="0"/>
    </xf>
    <xf numFmtId="14" fontId="34" fillId="0" borderId="21" xfId="0" applyNumberFormat="1" applyFont="1" applyBorder="1" applyAlignment="1" applyProtection="1">
      <alignment horizontal="left" vertical="top"/>
      <protection locked="0"/>
    </xf>
    <xf numFmtId="0" fontId="34" fillId="0" borderId="21" xfId="0" applyFont="1" applyBorder="1" applyAlignment="1" applyProtection="1">
      <alignment horizontal="left" vertical="top"/>
      <protection locked="0"/>
    </xf>
    <xf numFmtId="0" fontId="34" fillId="3" borderId="0" xfId="0" applyFont="1" applyFill="1" applyAlignment="1">
      <alignment horizontal="left" vertical="top" wrapText="1"/>
    </xf>
    <xf numFmtId="14" fontId="34" fillId="0" borderId="21" xfId="0" applyNumberFormat="1" applyFont="1" applyBorder="1" applyAlignment="1" applyProtection="1">
      <alignment horizontal="left" vertical="top" wrapText="1"/>
      <protection locked="0"/>
    </xf>
    <xf numFmtId="0" fontId="59" fillId="0" borderId="21" xfId="0" applyFont="1" applyBorder="1" applyAlignment="1" applyProtection="1">
      <alignment horizontal="left" vertical="top" wrapText="1"/>
      <protection hidden="1"/>
    </xf>
    <xf numFmtId="0" fontId="59" fillId="0" borderId="21" xfId="0" applyFont="1" applyBorder="1" applyAlignment="1" applyProtection="1">
      <alignment horizontal="left" vertical="top"/>
      <protection hidden="1"/>
    </xf>
    <xf numFmtId="0" fontId="61" fillId="3" borderId="0" xfId="0" applyFont="1" applyFill="1" applyAlignment="1">
      <alignment horizontal="left" vertical="top" wrapText="1"/>
    </xf>
    <xf numFmtId="0" fontId="34" fillId="0" borderId="22" xfId="0" applyFont="1" applyBorder="1" applyAlignment="1">
      <alignment horizontal="left" vertical="top"/>
    </xf>
    <xf numFmtId="0" fontId="34" fillId="0" borderId="22" xfId="0" applyFont="1" applyBorder="1" applyAlignment="1" applyProtection="1">
      <alignment horizontal="left" vertical="top" wrapText="1"/>
      <protection locked="0"/>
    </xf>
    <xf numFmtId="0" fontId="34" fillId="0" borderId="21" xfId="0" quotePrefix="1" applyFont="1" applyBorder="1" applyAlignment="1" applyProtection="1">
      <alignment horizontal="left" vertical="top" wrapText="1"/>
      <protection locked="0"/>
    </xf>
    <xf numFmtId="9" fontId="34" fillId="0" borderId="21" xfId="0" applyNumberFormat="1" applyFont="1" applyBorder="1" applyAlignment="1" applyProtection="1">
      <alignment horizontal="left" vertical="top" wrapText="1"/>
      <protection locked="0"/>
    </xf>
    <xf numFmtId="0" fontId="60" fillId="0" borderId="21" xfId="0" applyFont="1" applyBorder="1" applyAlignment="1" applyProtection="1">
      <alignment horizontal="left" vertical="top"/>
      <protection locked="0"/>
    </xf>
    <xf numFmtId="0" fontId="34" fillId="0" borderId="3" xfId="0" applyFont="1" applyBorder="1" applyAlignment="1">
      <alignment horizontal="left" vertical="top"/>
    </xf>
    <xf numFmtId="0" fontId="34" fillId="0" borderId="2" xfId="0" applyFont="1" applyBorder="1" applyAlignment="1">
      <alignment horizontal="left" vertical="top"/>
    </xf>
    <xf numFmtId="0" fontId="60" fillId="0" borderId="7" xfId="0" applyFont="1" applyBorder="1" applyAlignment="1">
      <alignment horizontal="left" vertical="top" wrapText="1"/>
    </xf>
    <xf numFmtId="0" fontId="60" fillId="0" borderId="0" xfId="0" applyFont="1" applyAlignment="1">
      <alignment horizontal="left" vertical="top" wrapText="1"/>
    </xf>
    <xf numFmtId="0" fontId="34" fillId="0" borderId="0" xfId="0" applyFont="1" applyAlignment="1">
      <alignment horizontal="left" vertical="top" wrapText="1"/>
    </xf>
    <xf numFmtId="0" fontId="63" fillId="0" borderId="70" xfId="0" applyFont="1" applyBorder="1" applyAlignment="1">
      <alignment horizontal="left" vertical="top" wrapText="1"/>
    </xf>
    <xf numFmtId="0" fontId="56" fillId="0" borderId="70" xfId="0" applyFont="1" applyBorder="1" applyAlignment="1">
      <alignment horizontal="left" vertical="top" wrapText="1"/>
    </xf>
    <xf numFmtId="0" fontId="63" fillId="0" borderId="0" xfId="0" applyFont="1" applyAlignment="1">
      <alignment horizontal="left" vertical="top" wrapText="1"/>
    </xf>
    <xf numFmtId="0" fontId="59" fillId="0" borderId="71" xfId="0" applyFont="1" applyBorder="1" applyAlignment="1" applyProtection="1">
      <alignment vertical="top"/>
      <protection hidden="1"/>
    </xf>
    <xf numFmtId="9" fontId="1" fillId="0" borderId="21" xfId="1" applyFont="1" applyBorder="1" applyAlignment="1">
      <alignment horizontal="left" vertical="top" wrapText="1"/>
    </xf>
    <xf numFmtId="0" fontId="34" fillId="3" borderId="21" xfId="0" applyFont="1" applyFill="1" applyBorder="1" applyAlignment="1">
      <alignment horizontal="left" vertical="top" wrapText="1"/>
    </xf>
    <xf numFmtId="9" fontId="1" fillId="0" borderId="21" xfId="0" applyNumberFormat="1" applyFont="1" applyBorder="1" applyAlignment="1" applyProtection="1">
      <alignment horizontal="left" vertical="top"/>
      <protection hidden="1"/>
    </xf>
    <xf numFmtId="0" fontId="34" fillId="13" borderId="21" xfId="0" applyFont="1" applyFill="1" applyBorder="1" applyAlignment="1" applyProtection="1">
      <alignment horizontal="left" vertical="top" wrapText="1"/>
      <protection locked="0"/>
    </xf>
    <xf numFmtId="14" fontId="34" fillId="0" borderId="21" xfId="0" applyNumberFormat="1" applyFont="1" applyBorder="1" applyAlignment="1" applyProtection="1">
      <alignment horizontal="center" vertical="center"/>
      <protection locked="0"/>
    </xf>
    <xf numFmtId="0" fontId="34" fillId="16" borderId="21" xfId="0" applyFont="1" applyFill="1" applyBorder="1" applyAlignment="1" applyProtection="1">
      <alignment horizontal="left" vertical="top" wrapText="1"/>
      <protection locked="0"/>
    </xf>
    <xf numFmtId="0" fontId="34" fillId="17" borderId="21" xfId="0" applyFont="1" applyFill="1" applyBorder="1" applyAlignment="1" applyProtection="1">
      <alignment horizontal="left" vertical="top" wrapText="1"/>
      <protection locked="0"/>
    </xf>
    <xf numFmtId="0" fontId="34" fillId="0" borderId="21" xfId="0" applyFont="1" applyBorder="1" applyAlignment="1" applyProtection="1">
      <alignment horizontal="center" vertical="center" wrapText="1"/>
      <protection locked="0"/>
    </xf>
    <xf numFmtId="0" fontId="34" fillId="0" borderId="21" xfId="0" applyFont="1" applyBorder="1" applyAlignment="1" applyProtection="1">
      <alignment horizontal="left" vertical="center" wrapText="1"/>
      <protection locked="0"/>
    </xf>
    <xf numFmtId="0" fontId="34" fillId="3" borderId="21" xfId="0" applyFont="1" applyFill="1" applyBorder="1" applyAlignment="1">
      <alignment horizontal="left" vertical="center" wrapText="1"/>
    </xf>
    <xf numFmtId="0" fontId="34" fillId="3" borderId="21" xfId="0" applyFont="1" applyFill="1" applyBorder="1" applyAlignment="1">
      <alignment horizontal="left" wrapText="1"/>
    </xf>
    <xf numFmtId="0" fontId="34" fillId="0" borderId="21" xfId="0" applyFont="1" applyBorder="1" applyAlignment="1" applyProtection="1">
      <alignment horizontal="center" vertical="center"/>
      <protection locked="0"/>
    </xf>
    <xf numFmtId="14" fontId="34" fillId="0" borderId="21" xfId="0" applyNumberFormat="1" applyFont="1" applyBorder="1" applyAlignment="1" applyProtection="1">
      <alignment horizontal="center" vertical="center" wrapText="1"/>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34" fillId="0" borderId="71" xfId="0" applyFont="1" applyBorder="1" applyAlignment="1">
      <alignment horizontal="left" vertical="top"/>
    </xf>
    <xf numFmtId="0" fontId="34" fillId="0" borderId="72" xfId="0" applyFont="1" applyBorder="1" applyAlignment="1">
      <alignment horizontal="left" vertical="top"/>
    </xf>
    <xf numFmtId="0" fontId="34" fillId="0" borderId="22" xfId="0" applyFont="1" applyBorder="1" applyAlignment="1">
      <alignment horizontal="left" vertical="top"/>
    </xf>
    <xf numFmtId="0" fontId="34" fillId="0" borderId="71" xfId="0" applyFont="1" applyBorder="1" applyAlignment="1" applyProtection="1">
      <alignment horizontal="left" vertical="top" textRotation="90"/>
      <protection locked="0"/>
    </xf>
    <xf numFmtId="0" fontId="34" fillId="0" borderId="22" xfId="0" applyFont="1" applyBorder="1" applyAlignment="1" applyProtection="1">
      <alignment horizontal="left" vertical="top" textRotation="90"/>
      <protection locked="0"/>
    </xf>
    <xf numFmtId="0" fontId="34" fillId="0" borderId="71" xfId="0" applyFont="1" applyBorder="1" applyAlignment="1" applyProtection="1">
      <alignment horizontal="left" vertical="top" wrapText="1"/>
      <protection locked="0"/>
    </xf>
    <xf numFmtId="0" fontId="34" fillId="0" borderId="72" xfId="0" applyFont="1" applyBorder="1" applyAlignment="1" applyProtection="1">
      <alignment horizontal="left" vertical="top" wrapText="1"/>
      <protection locked="0"/>
    </xf>
    <xf numFmtId="0" fontId="34" fillId="0" borderId="22" xfId="0" applyFont="1" applyBorder="1" applyAlignment="1" applyProtection="1">
      <alignment horizontal="left" vertical="top" wrapText="1"/>
      <protection locked="0"/>
    </xf>
    <xf numFmtId="0" fontId="34" fillId="0" borderId="71" xfId="0" applyFont="1" applyBorder="1" applyAlignment="1">
      <alignment horizontal="left" vertical="top" wrapText="1"/>
    </xf>
    <xf numFmtId="0" fontId="34" fillId="0" borderId="22" xfId="0" applyFont="1" applyBorder="1" applyAlignment="1">
      <alignment horizontal="left" vertical="top" wrapText="1"/>
    </xf>
    <xf numFmtId="0" fontId="34" fillId="0" borderId="72" xfId="0" applyFont="1" applyBorder="1" applyAlignment="1" applyProtection="1">
      <alignment horizontal="left" vertical="top" textRotation="90"/>
      <protection locked="0"/>
    </xf>
    <xf numFmtId="0" fontId="58" fillId="0" borderId="21" xfId="0" applyFont="1" applyBorder="1" applyAlignment="1">
      <alignment horizontal="left" vertical="top"/>
    </xf>
    <xf numFmtId="0" fontId="57" fillId="7" borderId="21" xfId="0" applyFont="1" applyFill="1" applyBorder="1" applyAlignment="1">
      <alignment horizontal="left" vertical="top" wrapText="1"/>
    </xf>
    <xf numFmtId="0" fontId="58" fillId="0" borderId="68" xfId="0" applyFont="1" applyBorder="1" applyAlignment="1">
      <alignment horizontal="left" vertical="top"/>
    </xf>
    <xf numFmtId="0" fontId="58" fillId="0" borderId="67" xfId="0" applyFont="1" applyBorder="1" applyAlignment="1">
      <alignment horizontal="left" vertical="top"/>
    </xf>
    <xf numFmtId="0" fontId="58" fillId="0" borderId="69" xfId="0" applyFont="1" applyBorder="1" applyAlignment="1">
      <alignment horizontal="left" vertical="top"/>
    </xf>
    <xf numFmtId="0" fontId="57" fillId="7" borderId="21" xfId="0" applyFont="1" applyFill="1" applyBorder="1" applyAlignment="1">
      <alignment horizontal="left" vertical="top" textRotation="90" wrapText="1"/>
    </xf>
    <xf numFmtId="0" fontId="56" fillId="0" borderId="21" xfId="0" applyFont="1" applyBorder="1" applyAlignment="1" applyProtection="1">
      <alignment horizontal="left" vertical="top" wrapText="1"/>
      <protection locked="0"/>
    </xf>
    <xf numFmtId="0" fontId="57" fillId="7" borderId="21" xfId="0" applyFont="1" applyFill="1" applyBorder="1" applyAlignment="1">
      <alignment horizontal="left" vertical="top"/>
    </xf>
    <xf numFmtId="0" fontId="57" fillId="7" borderId="22" xfId="0" applyFont="1" applyFill="1" applyBorder="1" applyAlignment="1">
      <alignment horizontal="left" vertical="top"/>
    </xf>
    <xf numFmtId="0" fontId="57" fillId="7" borderId="21" xfId="0" applyFont="1" applyFill="1" applyBorder="1" applyAlignment="1">
      <alignment horizontal="left" vertical="top" textRotation="90"/>
    </xf>
    <xf numFmtId="0" fontId="34" fillId="0" borderId="71" xfId="0" applyFont="1" applyBorder="1" applyAlignment="1" applyProtection="1">
      <alignment horizontal="left" vertical="center" wrapText="1"/>
      <protection locked="0"/>
    </xf>
    <xf numFmtId="0" fontId="34" fillId="0" borderId="22" xfId="0" applyFont="1" applyBorder="1" applyAlignment="1" applyProtection="1">
      <alignment horizontal="left" vertical="center" wrapText="1"/>
      <protection locked="0"/>
    </xf>
    <xf numFmtId="0" fontId="60" fillId="0" borderId="71" xfId="0" applyFont="1" applyBorder="1" applyAlignment="1" applyProtection="1">
      <alignment horizontal="left" vertical="center" wrapText="1"/>
      <protection locked="0"/>
    </xf>
    <xf numFmtId="0" fontId="60" fillId="0" borderId="22" xfId="0" applyFont="1" applyBorder="1" applyAlignment="1" applyProtection="1">
      <alignment horizontal="left" vertical="center" wrapText="1"/>
      <protection locked="0"/>
    </xf>
    <xf numFmtId="0" fontId="58" fillId="0" borderId="21" xfId="0" applyFont="1" applyBorder="1" applyAlignment="1" applyProtection="1">
      <alignment horizontal="center" vertical="top"/>
      <protection locked="0"/>
    </xf>
    <xf numFmtId="0" fontId="34" fillId="0" borderId="2" xfId="0" applyFont="1" applyBorder="1" applyAlignment="1">
      <alignment horizontal="left" vertical="top" wrapText="1"/>
    </xf>
    <xf numFmtId="0" fontId="34" fillId="0" borderId="65" xfId="0" applyFont="1" applyBorder="1" applyAlignment="1">
      <alignment horizontal="left" vertical="top" wrapText="1"/>
    </xf>
    <xf numFmtId="0" fontId="34" fillId="0" borderId="66" xfId="0" applyFont="1" applyBorder="1" applyAlignment="1">
      <alignment horizontal="left" vertical="top" wrapText="1"/>
    </xf>
    <xf numFmtId="0" fontId="60" fillId="0" borderId="21" xfId="0" applyFont="1" applyBorder="1" applyAlignment="1">
      <alignment horizontal="left" vertical="top" wrapText="1"/>
    </xf>
    <xf numFmtId="0" fontId="57" fillId="7" borderId="68" xfId="0" applyFont="1" applyFill="1" applyBorder="1" applyAlignment="1">
      <alignment horizontal="left" vertical="top"/>
    </xf>
    <xf numFmtId="0" fontId="57" fillId="7" borderId="69" xfId="0" applyFont="1" applyFill="1" applyBorder="1" applyAlignment="1">
      <alignment horizontal="left" vertical="top"/>
    </xf>
    <xf numFmtId="0" fontId="56" fillId="0" borderId="70" xfId="0" applyFont="1" applyBorder="1" applyAlignment="1">
      <alignment horizontal="left" vertical="top" wrapText="1"/>
    </xf>
    <xf numFmtId="0" fontId="63" fillId="0" borderId="70" xfId="0" applyFont="1" applyBorder="1" applyAlignment="1">
      <alignment horizontal="left" vertical="top" wrapText="1"/>
    </xf>
    <xf numFmtId="0" fontId="58" fillId="0" borderId="68" xfId="0" applyFont="1" applyBorder="1" applyAlignment="1">
      <alignment horizontal="left" vertical="top" wrapText="1"/>
    </xf>
    <xf numFmtId="0" fontId="58" fillId="0" borderId="67" xfId="0" applyFont="1" applyBorder="1" applyAlignment="1">
      <alignment horizontal="left" vertical="top" wrapText="1"/>
    </xf>
    <xf numFmtId="0" fontId="58" fillId="0" borderId="69" xfId="0" applyFont="1" applyBorder="1" applyAlignment="1">
      <alignment horizontal="left" vertical="top" wrapText="1"/>
    </xf>
    <xf numFmtId="0" fontId="57" fillId="7" borderId="64" xfId="0" applyFont="1" applyFill="1" applyBorder="1" applyAlignment="1">
      <alignment horizontal="left" vertical="top"/>
    </xf>
    <xf numFmtId="0" fontId="57" fillId="7" borderId="57" xfId="0" applyFont="1" applyFill="1" applyBorder="1" applyAlignment="1">
      <alignment horizontal="left" vertical="top"/>
    </xf>
    <xf numFmtId="0" fontId="24" fillId="0" borderId="0" xfId="0" applyFont="1" applyAlignment="1">
      <alignment horizontal="center" vertical="center" wrapText="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4" fillId="0" borderId="71" xfId="0" applyFont="1" applyBorder="1" applyAlignment="1" applyProtection="1">
      <alignment horizontal="center" vertical="center" wrapText="1"/>
      <protection locked="0"/>
    </xf>
    <xf numFmtId="0" fontId="60" fillId="0" borderId="71" xfId="0" applyFont="1" applyBorder="1" applyAlignment="1" applyProtection="1">
      <alignment horizontal="center" vertical="center" wrapText="1"/>
      <protection locked="0"/>
    </xf>
    <xf numFmtId="0" fontId="34" fillId="0" borderId="72" xfId="0" applyFont="1" applyBorder="1" applyAlignment="1" applyProtection="1">
      <alignment horizontal="center" vertical="center" wrapText="1"/>
      <protection locked="0"/>
    </xf>
    <xf numFmtId="0" fontId="60" fillId="0" borderId="72" xfId="0" applyFont="1" applyBorder="1" applyAlignment="1" applyProtection="1">
      <alignment horizontal="center" vertical="center" wrapText="1"/>
      <protection locked="0"/>
    </xf>
    <xf numFmtId="0" fontId="34" fillId="0" borderId="22" xfId="0" applyFont="1" applyBorder="1" applyAlignment="1" applyProtection="1">
      <alignment horizontal="center" vertical="center" wrapText="1"/>
      <protection locked="0"/>
    </xf>
    <xf numFmtId="0" fontId="60" fillId="0" borderId="22" xfId="0" applyFont="1" applyBorder="1" applyAlignment="1" applyProtection="1">
      <alignment horizontal="center" vertical="center" wrapText="1"/>
      <protection locked="0"/>
    </xf>
    <xf numFmtId="0" fontId="34" fillId="0" borderId="72" xfId="0" applyFont="1" applyBorder="1" applyAlignment="1" applyProtection="1">
      <alignment horizontal="left" vertical="center" wrapText="1"/>
      <protection locked="0"/>
    </xf>
    <xf numFmtId="0" fontId="60" fillId="0" borderId="72" xfId="0" applyFont="1" applyBorder="1" applyAlignment="1" applyProtection="1">
      <alignment horizontal="left" vertical="center" wrapText="1"/>
      <protection locked="0"/>
    </xf>
    <xf numFmtId="0" fontId="57" fillId="7" borderId="21" xfId="0" applyFont="1" applyFill="1" applyBorder="1" applyAlignment="1">
      <alignment horizontal="center" vertical="center" wrapText="1"/>
    </xf>
    <xf numFmtId="0" fontId="34" fillId="0" borderId="71" xfId="0" applyFont="1" applyBorder="1" applyAlignment="1" applyProtection="1">
      <alignment horizontal="center" vertical="center"/>
      <protection locked="0"/>
    </xf>
    <xf numFmtId="0" fontId="34" fillId="0" borderId="72" xfId="0"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60" fillId="0" borderId="21" xfId="0" applyFont="1" applyBorder="1" applyAlignment="1" applyProtection="1">
      <alignment horizontal="left"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1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280264</xdr:colOff>
      <xdr:row>0</xdr:row>
      <xdr:rowOff>0</xdr:rowOff>
    </xdr:from>
    <xdr:to>
      <xdr:col>2</xdr:col>
      <xdr:colOff>466531</xdr:colOff>
      <xdr:row>1</xdr:row>
      <xdr:rowOff>184669</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264" y="0"/>
          <a:ext cx="1294277" cy="38877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4" zoomScale="130" zoomScaleNormal="130" workbookViewId="0">
      <selection activeCell="C37" sqref="C37:D37"/>
    </sheetView>
  </sheetViews>
  <sheetFormatPr baseColWidth="10" defaultColWidth="11.42578125" defaultRowHeight="15" x14ac:dyDescent="0.25"/>
  <cols>
    <col min="1" max="1" width="2.71093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6384" width="11.42578125" style="69"/>
  </cols>
  <sheetData>
    <row r="1" spans="2:8" ht="15.75" thickBot="1" x14ac:dyDescent="0.3"/>
    <row r="2" spans="2:8" ht="18" x14ac:dyDescent="0.25">
      <c r="B2" s="176" t="s">
        <v>162</v>
      </c>
      <c r="C2" s="177"/>
      <c r="D2" s="177"/>
      <c r="E2" s="177"/>
      <c r="F2" s="177"/>
      <c r="G2" s="177"/>
      <c r="H2" s="178"/>
    </row>
    <row r="3" spans="2:8" x14ac:dyDescent="0.25">
      <c r="B3" s="70"/>
      <c r="C3" s="71"/>
      <c r="D3" s="71"/>
      <c r="E3" s="71"/>
      <c r="F3" s="71"/>
      <c r="G3" s="71"/>
      <c r="H3" s="72"/>
    </row>
    <row r="4" spans="2:8" ht="63" customHeight="1" x14ac:dyDescent="0.25">
      <c r="B4" s="179" t="s">
        <v>205</v>
      </c>
      <c r="C4" s="180"/>
      <c r="D4" s="180"/>
      <c r="E4" s="180"/>
      <c r="F4" s="180"/>
      <c r="G4" s="180"/>
      <c r="H4" s="181"/>
    </row>
    <row r="5" spans="2:8" ht="63" customHeight="1" x14ac:dyDescent="0.25">
      <c r="B5" s="182"/>
      <c r="C5" s="183"/>
      <c r="D5" s="183"/>
      <c r="E5" s="183"/>
      <c r="F5" s="183"/>
      <c r="G5" s="183"/>
      <c r="H5" s="184"/>
    </row>
    <row r="6" spans="2:8" ht="16.5" x14ac:dyDescent="0.25">
      <c r="B6" s="185" t="s">
        <v>160</v>
      </c>
      <c r="C6" s="186"/>
      <c r="D6" s="186"/>
      <c r="E6" s="186"/>
      <c r="F6" s="186"/>
      <c r="G6" s="186"/>
      <c r="H6" s="187"/>
    </row>
    <row r="7" spans="2:8" ht="95.25" customHeight="1" x14ac:dyDescent="0.25">
      <c r="B7" s="195" t="s">
        <v>165</v>
      </c>
      <c r="C7" s="196"/>
      <c r="D7" s="196"/>
      <c r="E7" s="196"/>
      <c r="F7" s="196"/>
      <c r="G7" s="196"/>
      <c r="H7" s="197"/>
    </row>
    <row r="8" spans="2:8" ht="16.5" x14ac:dyDescent="0.25">
      <c r="B8" s="106"/>
      <c r="C8" s="107"/>
      <c r="D8" s="107"/>
      <c r="E8" s="107"/>
      <c r="F8" s="107"/>
      <c r="G8" s="107"/>
      <c r="H8" s="108"/>
    </row>
    <row r="9" spans="2:8" ht="16.5" customHeight="1" x14ac:dyDescent="0.25">
      <c r="B9" s="188" t="s">
        <v>198</v>
      </c>
      <c r="C9" s="189"/>
      <c r="D9" s="189"/>
      <c r="E9" s="189"/>
      <c r="F9" s="189"/>
      <c r="G9" s="189"/>
      <c r="H9" s="190"/>
    </row>
    <row r="10" spans="2:8" ht="44.25" customHeight="1" x14ac:dyDescent="0.25">
      <c r="B10" s="188"/>
      <c r="C10" s="189"/>
      <c r="D10" s="189"/>
      <c r="E10" s="189"/>
      <c r="F10" s="189"/>
      <c r="G10" s="189"/>
      <c r="H10" s="190"/>
    </row>
    <row r="11" spans="2:8" ht="15.75" thickBot="1" x14ac:dyDescent="0.3">
      <c r="B11" s="95"/>
      <c r="C11" s="98"/>
      <c r="D11" s="103"/>
      <c r="E11" s="104"/>
      <c r="F11" s="104"/>
      <c r="G11" s="105"/>
      <c r="H11" s="99"/>
    </row>
    <row r="12" spans="2:8" ht="15.75" thickTop="1" x14ac:dyDescent="0.25">
      <c r="B12" s="95"/>
      <c r="C12" s="191" t="s">
        <v>161</v>
      </c>
      <c r="D12" s="192"/>
      <c r="E12" s="193" t="s">
        <v>199</v>
      </c>
      <c r="F12" s="194"/>
      <c r="G12" s="98"/>
      <c r="H12" s="99"/>
    </row>
    <row r="13" spans="2:8" ht="35.25" customHeight="1" x14ac:dyDescent="0.25">
      <c r="B13" s="95"/>
      <c r="C13" s="198" t="s">
        <v>192</v>
      </c>
      <c r="D13" s="199"/>
      <c r="E13" s="200" t="s">
        <v>197</v>
      </c>
      <c r="F13" s="201"/>
      <c r="G13" s="98"/>
      <c r="H13" s="99"/>
    </row>
    <row r="14" spans="2:8" ht="17.25" customHeight="1" x14ac:dyDescent="0.25">
      <c r="B14" s="95"/>
      <c r="C14" s="198" t="s">
        <v>193</v>
      </c>
      <c r="D14" s="199"/>
      <c r="E14" s="200" t="s">
        <v>195</v>
      </c>
      <c r="F14" s="201"/>
      <c r="G14" s="98"/>
      <c r="H14" s="99"/>
    </row>
    <row r="15" spans="2:8" ht="19.5" customHeight="1" x14ac:dyDescent="0.25">
      <c r="B15" s="95"/>
      <c r="C15" s="198" t="s">
        <v>194</v>
      </c>
      <c r="D15" s="199"/>
      <c r="E15" s="200" t="s">
        <v>196</v>
      </c>
      <c r="F15" s="201"/>
      <c r="G15" s="98"/>
      <c r="H15" s="99"/>
    </row>
    <row r="16" spans="2:8" ht="69.75" customHeight="1" x14ac:dyDescent="0.25">
      <c r="B16" s="95"/>
      <c r="C16" s="198" t="s">
        <v>163</v>
      </c>
      <c r="D16" s="199"/>
      <c r="E16" s="200" t="s">
        <v>164</v>
      </c>
      <c r="F16" s="201"/>
      <c r="G16" s="98"/>
      <c r="H16" s="99"/>
    </row>
    <row r="17" spans="2:8" ht="34.5" customHeight="1" x14ac:dyDescent="0.25">
      <c r="B17" s="95"/>
      <c r="C17" s="202" t="s">
        <v>2</v>
      </c>
      <c r="D17" s="203"/>
      <c r="E17" s="204" t="s">
        <v>206</v>
      </c>
      <c r="F17" s="205"/>
      <c r="G17" s="98"/>
      <c r="H17" s="99"/>
    </row>
    <row r="18" spans="2:8" ht="27.75" customHeight="1" x14ac:dyDescent="0.25">
      <c r="B18" s="95"/>
      <c r="C18" s="202" t="s">
        <v>3</v>
      </c>
      <c r="D18" s="203"/>
      <c r="E18" s="204" t="s">
        <v>207</v>
      </c>
      <c r="F18" s="205"/>
      <c r="G18" s="98"/>
      <c r="H18" s="99"/>
    </row>
    <row r="19" spans="2:8" ht="28.5" customHeight="1" x14ac:dyDescent="0.25">
      <c r="B19" s="95"/>
      <c r="C19" s="202" t="s">
        <v>41</v>
      </c>
      <c r="D19" s="203"/>
      <c r="E19" s="204" t="s">
        <v>208</v>
      </c>
      <c r="F19" s="205"/>
      <c r="G19" s="98"/>
      <c r="H19" s="99"/>
    </row>
    <row r="20" spans="2:8" ht="72.75" customHeight="1" x14ac:dyDescent="0.25">
      <c r="B20" s="95"/>
      <c r="C20" s="202" t="s">
        <v>1</v>
      </c>
      <c r="D20" s="203"/>
      <c r="E20" s="204" t="s">
        <v>209</v>
      </c>
      <c r="F20" s="205"/>
      <c r="G20" s="98"/>
      <c r="H20" s="99"/>
    </row>
    <row r="21" spans="2:8" ht="64.5" customHeight="1" x14ac:dyDescent="0.25">
      <c r="B21" s="95"/>
      <c r="C21" s="202" t="s">
        <v>49</v>
      </c>
      <c r="D21" s="203"/>
      <c r="E21" s="204" t="s">
        <v>167</v>
      </c>
      <c r="F21" s="205"/>
      <c r="G21" s="98"/>
      <c r="H21" s="99"/>
    </row>
    <row r="22" spans="2:8" ht="71.25" customHeight="1" x14ac:dyDescent="0.25">
      <c r="B22" s="95"/>
      <c r="C22" s="202" t="s">
        <v>166</v>
      </c>
      <c r="D22" s="203"/>
      <c r="E22" s="204" t="s">
        <v>168</v>
      </c>
      <c r="F22" s="205"/>
      <c r="G22" s="98"/>
      <c r="H22" s="99"/>
    </row>
    <row r="23" spans="2:8" ht="55.5" customHeight="1" x14ac:dyDescent="0.25">
      <c r="B23" s="95"/>
      <c r="C23" s="209" t="s">
        <v>169</v>
      </c>
      <c r="D23" s="210"/>
      <c r="E23" s="204" t="s">
        <v>170</v>
      </c>
      <c r="F23" s="205"/>
      <c r="G23" s="98"/>
      <c r="H23" s="99"/>
    </row>
    <row r="24" spans="2:8" ht="42" customHeight="1" x14ac:dyDescent="0.25">
      <c r="B24" s="95"/>
      <c r="C24" s="209" t="s">
        <v>47</v>
      </c>
      <c r="D24" s="210"/>
      <c r="E24" s="204" t="s">
        <v>171</v>
      </c>
      <c r="F24" s="205"/>
      <c r="G24" s="98"/>
      <c r="H24" s="99"/>
    </row>
    <row r="25" spans="2:8" ht="59.25" customHeight="1" x14ac:dyDescent="0.25">
      <c r="B25" s="95"/>
      <c r="C25" s="209" t="s">
        <v>159</v>
      </c>
      <c r="D25" s="210"/>
      <c r="E25" s="204" t="s">
        <v>172</v>
      </c>
      <c r="F25" s="205"/>
      <c r="G25" s="98"/>
      <c r="H25" s="99"/>
    </row>
    <row r="26" spans="2:8" ht="23.25" customHeight="1" x14ac:dyDescent="0.25">
      <c r="B26" s="95"/>
      <c r="C26" s="209" t="s">
        <v>12</v>
      </c>
      <c r="D26" s="210"/>
      <c r="E26" s="204" t="s">
        <v>173</v>
      </c>
      <c r="F26" s="205"/>
      <c r="G26" s="98"/>
      <c r="H26" s="99"/>
    </row>
    <row r="27" spans="2:8" ht="30.75" customHeight="1" x14ac:dyDescent="0.25">
      <c r="B27" s="95"/>
      <c r="C27" s="209" t="s">
        <v>177</v>
      </c>
      <c r="D27" s="210"/>
      <c r="E27" s="204" t="s">
        <v>174</v>
      </c>
      <c r="F27" s="205"/>
      <c r="G27" s="98"/>
      <c r="H27" s="99"/>
    </row>
    <row r="28" spans="2:8" ht="35.25" customHeight="1" x14ac:dyDescent="0.25">
      <c r="B28" s="95"/>
      <c r="C28" s="209" t="s">
        <v>178</v>
      </c>
      <c r="D28" s="210"/>
      <c r="E28" s="204" t="s">
        <v>175</v>
      </c>
      <c r="F28" s="205"/>
      <c r="G28" s="98"/>
      <c r="H28" s="99"/>
    </row>
    <row r="29" spans="2:8" ht="33" customHeight="1" x14ac:dyDescent="0.25">
      <c r="B29" s="95"/>
      <c r="C29" s="209" t="s">
        <v>178</v>
      </c>
      <c r="D29" s="210"/>
      <c r="E29" s="204" t="s">
        <v>175</v>
      </c>
      <c r="F29" s="205"/>
      <c r="G29" s="98"/>
      <c r="H29" s="99"/>
    </row>
    <row r="30" spans="2:8" ht="30" customHeight="1" x14ac:dyDescent="0.25">
      <c r="B30" s="95"/>
      <c r="C30" s="209" t="s">
        <v>179</v>
      </c>
      <c r="D30" s="210"/>
      <c r="E30" s="204" t="s">
        <v>176</v>
      </c>
      <c r="F30" s="205"/>
      <c r="G30" s="98"/>
      <c r="H30" s="99"/>
    </row>
    <row r="31" spans="2:8" ht="35.25" customHeight="1" x14ac:dyDescent="0.25">
      <c r="B31" s="95"/>
      <c r="C31" s="209" t="s">
        <v>180</v>
      </c>
      <c r="D31" s="210"/>
      <c r="E31" s="204" t="s">
        <v>181</v>
      </c>
      <c r="F31" s="205"/>
      <c r="G31" s="98"/>
      <c r="H31" s="99"/>
    </row>
    <row r="32" spans="2:8" ht="31.5" customHeight="1" x14ac:dyDescent="0.25">
      <c r="B32" s="95"/>
      <c r="C32" s="209" t="s">
        <v>182</v>
      </c>
      <c r="D32" s="210"/>
      <c r="E32" s="204" t="s">
        <v>183</v>
      </c>
      <c r="F32" s="205"/>
      <c r="G32" s="98"/>
      <c r="H32" s="99"/>
    </row>
    <row r="33" spans="2:8" ht="35.25" customHeight="1" x14ac:dyDescent="0.25">
      <c r="B33" s="95"/>
      <c r="C33" s="209" t="s">
        <v>184</v>
      </c>
      <c r="D33" s="210"/>
      <c r="E33" s="204" t="s">
        <v>185</v>
      </c>
      <c r="F33" s="205"/>
      <c r="G33" s="98"/>
      <c r="H33" s="99"/>
    </row>
    <row r="34" spans="2:8" ht="59.25" customHeight="1" x14ac:dyDescent="0.25">
      <c r="B34" s="95"/>
      <c r="C34" s="209" t="s">
        <v>186</v>
      </c>
      <c r="D34" s="210"/>
      <c r="E34" s="204" t="s">
        <v>187</v>
      </c>
      <c r="F34" s="205"/>
      <c r="G34" s="98"/>
      <c r="H34" s="99"/>
    </row>
    <row r="35" spans="2:8" ht="29.25" customHeight="1" x14ac:dyDescent="0.25">
      <c r="B35" s="95"/>
      <c r="C35" s="209" t="s">
        <v>29</v>
      </c>
      <c r="D35" s="210"/>
      <c r="E35" s="204" t="s">
        <v>188</v>
      </c>
      <c r="F35" s="205"/>
      <c r="G35" s="98"/>
      <c r="H35" s="99"/>
    </row>
    <row r="36" spans="2:8" ht="82.5" customHeight="1" x14ac:dyDescent="0.25">
      <c r="B36" s="95"/>
      <c r="C36" s="209" t="s">
        <v>190</v>
      </c>
      <c r="D36" s="210"/>
      <c r="E36" s="204" t="s">
        <v>189</v>
      </c>
      <c r="F36" s="205"/>
      <c r="G36" s="98"/>
      <c r="H36" s="99"/>
    </row>
    <row r="37" spans="2:8" ht="46.5" customHeight="1" x14ac:dyDescent="0.25">
      <c r="B37" s="95"/>
      <c r="C37" s="209" t="s">
        <v>38</v>
      </c>
      <c r="D37" s="210"/>
      <c r="E37" s="204" t="s">
        <v>191</v>
      </c>
      <c r="F37" s="205"/>
      <c r="G37" s="98"/>
      <c r="H37" s="99"/>
    </row>
    <row r="38" spans="2:8" ht="6.75" customHeight="1" thickBot="1" x14ac:dyDescent="0.3">
      <c r="B38" s="95"/>
      <c r="C38" s="211"/>
      <c r="D38" s="212"/>
      <c r="E38" s="213"/>
      <c r="F38" s="214"/>
      <c r="G38" s="98"/>
      <c r="H38" s="99"/>
    </row>
    <row r="39" spans="2:8" ht="15.75" thickTop="1" x14ac:dyDescent="0.25">
      <c r="B39" s="95"/>
      <c r="C39" s="96"/>
      <c r="D39" s="96"/>
      <c r="E39" s="97"/>
      <c r="F39" s="97"/>
      <c r="G39" s="98"/>
      <c r="H39" s="99"/>
    </row>
    <row r="40" spans="2:8" ht="21" customHeight="1" x14ac:dyDescent="0.25">
      <c r="B40" s="206" t="s">
        <v>200</v>
      </c>
      <c r="C40" s="207"/>
      <c r="D40" s="207"/>
      <c r="E40" s="207"/>
      <c r="F40" s="207"/>
      <c r="G40" s="207"/>
      <c r="H40" s="208"/>
    </row>
    <row r="41" spans="2:8" ht="20.25" customHeight="1" x14ac:dyDescent="0.25">
      <c r="B41" s="206" t="s">
        <v>201</v>
      </c>
      <c r="C41" s="207"/>
      <c r="D41" s="207"/>
      <c r="E41" s="207"/>
      <c r="F41" s="207"/>
      <c r="G41" s="207"/>
      <c r="H41" s="208"/>
    </row>
    <row r="42" spans="2:8" ht="20.25" customHeight="1" x14ac:dyDescent="0.25">
      <c r="B42" s="206" t="s">
        <v>202</v>
      </c>
      <c r="C42" s="207"/>
      <c r="D42" s="207"/>
      <c r="E42" s="207"/>
      <c r="F42" s="207"/>
      <c r="G42" s="207"/>
      <c r="H42" s="208"/>
    </row>
    <row r="43" spans="2:8" ht="20.25" customHeight="1" x14ac:dyDescent="0.25">
      <c r="B43" s="206" t="s">
        <v>203</v>
      </c>
      <c r="C43" s="207"/>
      <c r="D43" s="207"/>
      <c r="E43" s="207"/>
      <c r="F43" s="207"/>
      <c r="G43" s="207"/>
      <c r="H43" s="208"/>
    </row>
    <row r="44" spans="2:8" x14ac:dyDescent="0.25">
      <c r="B44" s="206" t="s">
        <v>204</v>
      </c>
      <c r="C44" s="207"/>
      <c r="D44" s="207"/>
      <c r="E44" s="207"/>
      <c r="F44" s="207"/>
      <c r="G44" s="207"/>
      <c r="H44" s="208"/>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32"/>
  <sheetViews>
    <sheetView showGridLines="0" tabSelected="1" zoomScale="68" zoomScaleNormal="68" workbookViewId="0">
      <selection activeCell="D13" sqref="D13:D15"/>
    </sheetView>
  </sheetViews>
  <sheetFormatPr baseColWidth="10" defaultColWidth="11.42578125" defaultRowHeight="15.75" x14ac:dyDescent="0.25"/>
  <cols>
    <col min="1" max="1" width="4.7109375" style="119" customWidth="1"/>
    <col min="2" max="3" width="12" style="119" customWidth="1"/>
    <col min="4" max="4" width="14.140625" style="119" customWidth="1"/>
    <col min="5" max="5" width="22.140625" style="119" customWidth="1"/>
    <col min="6" max="6" width="72" style="119" customWidth="1"/>
    <col min="7" max="7" width="32.42578125" style="119" customWidth="1"/>
    <col min="8" max="8" width="19" style="119" customWidth="1"/>
    <col min="9" max="9" width="16.28515625" style="119" customWidth="1"/>
    <col min="10" max="10" width="16.140625" style="119" customWidth="1"/>
    <col min="11" max="11" width="17.7109375" style="119" customWidth="1"/>
    <col min="12" max="12" width="16.42578125" style="119" customWidth="1"/>
    <col min="13" max="13" width="6.28515625" style="119" customWidth="1"/>
    <col min="14" max="14" width="14" style="119" customWidth="1"/>
    <col min="15" max="15" width="0.140625" style="119" customWidth="1"/>
    <col min="16" max="16" width="17.42578125" style="119" customWidth="1"/>
    <col min="17" max="17" width="6.28515625" style="119" customWidth="1"/>
    <col min="18" max="18" width="16" style="119" customWidth="1"/>
    <col min="19" max="19" width="5.7109375" style="119" customWidth="1"/>
    <col min="20" max="20" width="44.140625" style="119" customWidth="1"/>
    <col min="21" max="21" width="37" style="119" customWidth="1"/>
    <col min="22" max="22" width="15.140625" style="119" customWidth="1"/>
    <col min="23" max="23" width="6.7109375" style="119" customWidth="1"/>
    <col min="24" max="24" width="5" style="119" customWidth="1"/>
    <col min="25" max="25" width="5.42578125" style="119" customWidth="1"/>
    <col min="26" max="26" width="7.140625" style="119" customWidth="1"/>
    <col min="27" max="27" width="6.7109375" style="119" customWidth="1"/>
    <col min="28" max="28" width="7.42578125" style="119" customWidth="1"/>
    <col min="29" max="29" width="9.28515625" style="119" customWidth="1"/>
    <col min="30" max="30" width="8.7109375" style="119" customWidth="1"/>
    <col min="31" max="31" width="10.42578125" style="119" customWidth="1"/>
    <col min="32" max="32" width="9.28515625" style="119" customWidth="1"/>
    <col min="33" max="33" width="9.140625" style="119" customWidth="1"/>
    <col min="34" max="34" width="8.42578125" style="119" customWidth="1"/>
    <col min="35" max="35" width="7.28515625" style="119" customWidth="1"/>
    <col min="36" max="36" width="36" style="119" customWidth="1"/>
    <col min="37" max="37" width="18.7109375" style="119" customWidth="1"/>
    <col min="38" max="38" width="16.7109375" style="119" customWidth="1"/>
    <col min="39" max="39" width="14.7109375" style="119" customWidth="1"/>
    <col min="40" max="40" width="61.42578125" style="119" customWidth="1"/>
    <col min="41" max="41" width="10" style="119" customWidth="1"/>
    <col min="42" max="42" width="15.5703125" style="119" customWidth="1"/>
    <col min="43" max="43" width="72.28515625" style="119" customWidth="1"/>
    <col min="44" max="44" width="14.5703125" style="158" customWidth="1"/>
    <col min="45" max="45" width="20" style="119" bestFit="1" customWidth="1"/>
    <col min="46" max="46" width="91" style="119" customWidth="1"/>
    <col min="47" max="47" width="19.5703125" style="119" customWidth="1"/>
    <col min="48" max="48" width="24.5703125" style="119" customWidth="1"/>
    <col min="49" max="16384" width="11.42578125" style="119"/>
  </cols>
  <sheetData>
    <row r="1" spans="1:73" x14ac:dyDescent="0.25">
      <c r="A1" s="232"/>
      <c r="B1" s="232"/>
      <c r="C1" s="232"/>
      <c r="D1" s="232"/>
      <c r="E1" s="240" t="s">
        <v>212</v>
      </c>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26" t="s">
        <v>213</v>
      </c>
      <c r="AU1" s="226"/>
    </row>
    <row r="2" spans="1:73" x14ac:dyDescent="0.25">
      <c r="A2" s="232"/>
      <c r="B2" s="232"/>
      <c r="C2" s="232"/>
      <c r="D2" s="232"/>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26" t="s">
        <v>220</v>
      </c>
      <c r="AU2" s="226"/>
    </row>
    <row r="3" spans="1:73" x14ac:dyDescent="0.25">
      <c r="A3" s="232"/>
      <c r="B3" s="232"/>
      <c r="C3" s="232"/>
      <c r="D3" s="232"/>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26" t="s">
        <v>221</v>
      </c>
      <c r="AU3" s="226"/>
    </row>
    <row r="4" spans="1:73" x14ac:dyDescent="0.25">
      <c r="A4" s="232"/>
      <c r="B4" s="232"/>
      <c r="C4" s="232"/>
      <c r="D4" s="232"/>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26" t="s">
        <v>214</v>
      </c>
      <c r="AU4" s="226"/>
    </row>
    <row r="5" spans="1:73" x14ac:dyDescent="0.25">
      <c r="A5" s="109"/>
      <c r="B5" s="110"/>
      <c r="C5" s="110"/>
      <c r="D5" s="11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10"/>
      <c r="AS5" s="120"/>
      <c r="AT5" s="121"/>
      <c r="AU5" s="122"/>
    </row>
    <row r="6" spans="1:73" x14ac:dyDescent="0.25">
      <c r="A6" s="245" t="s">
        <v>42</v>
      </c>
      <c r="B6" s="246"/>
      <c r="C6" s="228" t="s">
        <v>271</v>
      </c>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30"/>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row>
    <row r="7" spans="1:73" x14ac:dyDescent="0.25">
      <c r="A7" s="245" t="s">
        <v>129</v>
      </c>
      <c r="B7" s="246"/>
      <c r="C7" s="228" t="s">
        <v>252</v>
      </c>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30"/>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row>
    <row r="8" spans="1:73" x14ac:dyDescent="0.25">
      <c r="A8" s="245" t="s">
        <v>43</v>
      </c>
      <c r="B8" s="246"/>
      <c r="C8" s="228" t="s">
        <v>253</v>
      </c>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30"/>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row>
    <row r="9" spans="1:73" x14ac:dyDescent="0.25">
      <c r="A9" s="233" t="s">
        <v>137</v>
      </c>
      <c r="B9" s="233"/>
      <c r="C9" s="233"/>
      <c r="D9" s="233"/>
      <c r="E9" s="234"/>
      <c r="F9" s="234"/>
      <c r="G9" s="234"/>
      <c r="H9" s="234"/>
      <c r="I9" s="234"/>
      <c r="J9" s="234"/>
      <c r="K9" s="234"/>
      <c r="L9" s="234" t="s">
        <v>138</v>
      </c>
      <c r="M9" s="234"/>
      <c r="N9" s="234"/>
      <c r="O9" s="234"/>
      <c r="P9" s="234"/>
      <c r="Q9" s="234"/>
      <c r="R9" s="234"/>
      <c r="S9" s="234" t="s">
        <v>139</v>
      </c>
      <c r="T9" s="234"/>
      <c r="U9" s="234"/>
      <c r="V9" s="234"/>
      <c r="W9" s="234"/>
      <c r="X9" s="234"/>
      <c r="Y9" s="234"/>
      <c r="Z9" s="234"/>
      <c r="AA9" s="234"/>
      <c r="AB9" s="234"/>
      <c r="AC9" s="234" t="s">
        <v>140</v>
      </c>
      <c r="AD9" s="234"/>
      <c r="AE9" s="234"/>
      <c r="AF9" s="234"/>
      <c r="AG9" s="234"/>
      <c r="AH9" s="234"/>
      <c r="AI9" s="234"/>
      <c r="AJ9" s="252" t="s">
        <v>34</v>
      </c>
      <c r="AK9" s="253"/>
      <c r="AL9" s="253"/>
      <c r="AM9" s="253"/>
      <c r="AN9" s="253"/>
      <c r="AO9" s="253"/>
      <c r="AP9" s="253"/>
      <c r="AQ9" s="253"/>
      <c r="AR9" s="253"/>
      <c r="AS9" s="253"/>
      <c r="AT9" s="253"/>
      <c r="AU9" s="25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row>
    <row r="10" spans="1:73" ht="16.5" customHeight="1" x14ac:dyDescent="0.25">
      <c r="A10" s="235" t="s">
        <v>0</v>
      </c>
      <c r="B10" s="233" t="s">
        <v>13</v>
      </c>
      <c r="C10" s="233" t="s">
        <v>234</v>
      </c>
      <c r="D10" s="233" t="s">
        <v>2</v>
      </c>
      <c r="E10" s="227" t="s">
        <v>3</v>
      </c>
      <c r="F10" s="227" t="s">
        <v>41</v>
      </c>
      <c r="G10" s="233" t="s">
        <v>1</v>
      </c>
      <c r="H10" s="227" t="s">
        <v>49</v>
      </c>
      <c r="I10" s="227" t="s">
        <v>250</v>
      </c>
      <c r="J10" s="227" t="s">
        <v>251</v>
      </c>
      <c r="K10" s="227" t="s">
        <v>133</v>
      </c>
      <c r="L10" s="227" t="s">
        <v>33</v>
      </c>
      <c r="M10" s="233" t="s">
        <v>5</v>
      </c>
      <c r="N10" s="227" t="s">
        <v>86</v>
      </c>
      <c r="O10" s="227" t="s">
        <v>91</v>
      </c>
      <c r="P10" s="227" t="s">
        <v>44</v>
      </c>
      <c r="Q10" s="233" t="s">
        <v>5</v>
      </c>
      <c r="R10" s="227" t="s">
        <v>47</v>
      </c>
      <c r="S10" s="231" t="s">
        <v>11</v>
      </c>
      <c r="T10" s="227" t="s">
        <v>159</v>
      </c>
      <c r="U10" s="227" t="s">
        <v>211</v>
      </c>
      <c r="V10" s="227" t="s">
        <v>12</v>
      </c>
      <c r="W10" s="227" t="s">
        <v>8</v>
      </c>
      <c r="X10" s="227"/>
      <c r="Y10" s="227"/>
      <c r="Z10" s="227"/>
      <c r="AA10" s="227"/>
      <c r="AB10" s="227"/>
      <c r="AC10" s="231" t="s">
        <v>136</v>
      </c>
      <c r="AD10" s="231" t="s">
        <v>45</v>
      </c>
      <c r="AE10" s="231" t="s">
        <v>5</v>
      </c>
      <c r="AF10" s="231" t="s">
        <v>46</v>
      </c>
      <c r="AG10" s="231" t="s">
        <v>5</v>
      </c>
      <c r="AH10" s="231" t="s">
        <v>48</v>
      </c>
      <c r="AI10" s="231" t="s">
        <v>29</v>
      </c>
      <c r="AJ10" s="227" t="s">
        <v>34</v>
      </c>
      <c r="AK10" s="227" t="s">
        <v>35</v>
      </c>
      <c r="AL10" s="227" t="s">
        <v>36</v>
      </c>
      <c r="AM10" s="227" t="s">
        <v>37</v>
      </c>
      <c r="AN10" s="227" t="s">
        <v>222</v>
      </c>
      <c r="AO10" s="227" t="s">
        <v>38</v>
      </c>
      <c r="AP10" s="227" t="s">
        <v>37</v>
      </c>
      <c r="AQ10" s="227" t="s">
        <v>223</v>
      </c>
      <c r="AR10" s="227" t="s">
        <v>38</v>
      </c>
      <c r="AS10" s="227" t="s">
        <v>37</v>
      </c>
      <c r="AT10" s="411" t="s">
        <v>224</v>
      </c>
      <c r="AU10" s="227" t="s">
        <v>38</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row>
    <row r="11" spans="1:73" s="125" customFormat="1" ht="36.75" customHeight="1" x14ac:dyDescent="0.25">
      <c r="A11" s="235"/>
      <c r="B11" s="233"/>
      <c r="C11" s="233"/>
      <c r="D11" s="233"/>
      <c r="E11" s="227"/>
      <c r="F11" s="227"/>
      <c r="G11" s="233"/>
      <c r="H11" s="227"/>
      <c r="I11" s="227"/>
      <c r="J11" s="227"/>
      <c r="K11" s="227"/>
      <c r="L11" s="227"/>
      <c r="M11" s="233"/>
      <c r="N11" s="227"/>
      <c r="O11" s="227"/>
      <c r="P11" s="233"/>
      <c r="Q11" s="233"/>
      <c r="R11" s="227"/>
      <c r="S11" s="231"/>
      <c r="T11" s="227"/>
      <c r="U11" s="227"/>
      <c r="V11" s="227"/>
      <c r="W11" s="112" t="s">
        <v>13</v>
      </c>
      <c r="X11" s="112" t="s">
        <v>17</v>
      </c>
      <c r="Y11" s="112" t="s">
        <v>28</v>
      </c>
      <c r="Z11" s="112" t="s">
        <v>18</v>
      </c>
      <c r="AA11" s="112" t="s">
        <v>21</v>
      </c>
      <c r="AB11" s="112" t="s">
        <v>24</v>
      </c>
      <c r="AC11" s="231"/>
      <c r="AD11" s="231"/>
      <c r="AE11" s="231"/>
      <c r="AF11" s="231"/>
      <c r="AG11" s="231"/>
      <c r="AH11" s="231"/>
      <c r="AI11" s="231"/>
      <c r="AJ11" s="227"/>
      <c r="AK11" s="227"/>
      <c r="AL11" s="227"/>
      <c r="AM11" s="227"/>
      <c r="AN11" s="227"/>
      <c r="AO11" s="227"/>
      <c r="AP11" s="227"/>
      <c r="AQ11" s="227"/>
      <c r="AR11" s="227"/>
      <c r="AS11" s="227"/>
      <c r="AT11" s="411"/>
      <c r="AU11" s="227"/>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row>
    <row r="12" spans="1:73" s="125" customFormat="1" ht="6" customHeight="1" x14ac:dyDescent="0.25">
      <c r="A12" s="113"/>
      <c r="B12" s="114"/>
      <c r="C12" s="114"/>
      <c r="D12" s="114"/>
      <c r="E12" s="115"/>
      <c r="F12" s="115"/>
      <c r="G12" s="114"/>
      <c r="H12" s="115"/>
      <c r="I12" s="115"/>
      <c r="J12" s="115"/>
      <c r="K12" s="115"/>
      <c r="L12" s="115"/>
      <c r="M12" s="114"/>
      <c r="N12" s="115"/>
      <c r="O12" s="111"/>
      <c r="P12" s="114"/>
      <c r="Q12" s="114"/>
      <c r="R12" s="115"/>
      <c r="S12" s="116"/>
      <c r="T12" s="111"/>
      <c r="U12" s="111"/>
      <c r="V12" s="111"/>
      <c r="W12" s="112"/>
      <c r="X12" s="112"/>
      <c r="Y12" s="112"/>
      <c r="Z12" s="112"/>
      <c r="AA12" s="112"/>
      <c r="AB12" s="112"/>
      <c r="AC12" s="116"/>
      <c r="AD12" s="117"/>
      <c r="AE12" s="116"/>
      <c r="AF12" s="116"/>
      <c r="AG12" s="116"/>
      <c r="AH12" s="116"/>
      <c r="AI12" s="117"/>
      <c r="AJ12" s="111"/>
      <c r="AK12" s="111"/>
      <c r="AL12" s="111"/>
      <c r="AM12" s="111"/>
      <c r="AN12" s="111"/>
      <c r="AO12" s="111"/>
      <c r="AP12" s="111"/>
      <c r="AQ12" s="111"/>
      <c r="AR12" s="111"/>
      <c r="AS12" s="111"/>
      <c r="AT12" s="111"/>
      <c r="AU12" s="111"/>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row>
    <row r="13" spans="1:73" ht="112.5" customHeight="1" x14ac:dyDescent="0.25">
      <c r="A13" s="215">
        <v>1</v>
      </c>
      <c r="B13" s="215" t="s">
        <v>229</v>
      </c>
      <c r="C13" s="215" t="s">
        <v>237</v>
      </c>
      <c r="D13" s="220" t="s">
        <v>130</v>
      </c>
      <c r="E13" s="220" t="s">
        <v>255</v>
      </c>
      <c r="F13" s="236" t="s">
        <v>284</v>
      </c>
      <c r="G13" s="238" t="s">
        <v>323</v>
      </c>
      <c r="H13" s="220" t="s">
        <v>122</v>
      </c>
      <c r="I13" s="220" t="s">
        <v>243</v>
      </c>
      <c r="J13" s="220" t="s">
        <v>247</v>
      </c>
      <c r="K13" s="126">
        <v>2</v>
      </c>
      <c r="L13" s="127" t="str">
        <f t="shared" ref="L13:L18" si="0">IF(K13&lt;=0,"",IF(K13&lt;=2,"Muy Baja",IF(K13&lt;=24,"Baja",IF(K13&lt;=500,"Media",IF(K13&lt;=5000,"Alta","Muy Alta")))))</f>
        <v>Muy Baja</v>
      </c>
      <c r="M13" s="128">
        <f t="shared" ref="M13:M18" si="1">IF(L13="","",IF(L13="Muy Baja",0.2,IF(L13="Baja",0.4,IF(L13="Media",0.6,IF(L13="Alta",0.8,IF(L13="Muy Alta",1,))))))</f>
        <v>0.2</v>
      </c>
      <c r="N13" s="129" t="s">
        <v>151</v>
      </c>
      <c r="O13" s="130" t="str">
        <f>IF(NOT(ISERROR(MATCH(N13,'Tabla Impacto'!$B$221:$B$223,0))),'Tabla Impacto'!$F$223&amp;"Por favor no seleccionar los criterios de impacto(Afectación Económica o presupuestal y Pérdida Reputacional)",N13)</f>
        <v xml:space="preserve">     El riesgo afecta la imagen de la entidad con algunos usuarios de relevancia frente al logro de los objetivos</v>
      </c>
      <c r="P13" s="127" t="str">
        <f>IF(OR(O13='Tabla Impacto'!$C$11,O13='Tabla Impacto'!$D$11),"Leve",IF(OR(O13='Tabla Impacto'!$C$12,O13='Tabla Impacto'!$D$12),"Menor",IF(OR(O13='Tabla Impacto'!$C$13,O13='Tabla Impacto'!$D$13),"Moderado",IF(OR(O13='Tabla Impacto'!$C$14,O13='Tabla Impacto'!$D$14),"Mayor",IF(OR(O13='Tabla Impacto'!$C$15,O13='Tabla Impacto'!$D$15),"Catastrófico","")))))</f>
        <v>Moderado</v>
      </c>
      <c r="Q13" s="128">
        <f t="shared" ref="Q13:Q18" si="2">IF(P13="","",IF(P13="Leve",0.2,IF(P13="Menor",0.4,IF(P13="Moderado",0.6,IF(P13="Mayor",0.8,IF(P13="Catastrófico",1,))))))</f>
        <v>0.6</v>
      </c>
      <c r="R13" s="162" t="str">
        <f t="shared" ref="R13:R19" si="3">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31">
        <v>1</v>
      </c>
      <c r="T13" s="171" t="s">
        <v>283</v>
      </c>
      <c r="U13" s="171" t="s">
        <v>258</v>
      </c>
      <c r="V13" s="133" t="str">
        <f t="shared" ref="V13:V18" si="4">IF(OR(W13="Preventivo",W13="Detectivo"),"Probabilidad",IF(W13="Correctivo","Impacto",""))</f>
        <v>Probabilidad</v>
      </c>
      <c r="W13" s="134" t="s">
        <v>14</v>
      </c>
      <c r="X13" s="134" t="s">
        <v>9</v>
      </c>
      <c r="Y13" s="135" t="str">
        <f t="shared" ref="Y13:Y18" si="5">IF(AND(W13="Preventivo",X13="Automático"),"50%",IF(AND(W13="Preventivo",X13="Manual"),"40%",IF(AND(W13="Detectivo",X13="Automático"),"40%",IF(AND(W13="Detectivo",X13="Manual"),"30%",IF(AND(W13="Correctivo",X13="Automático"),"35%",IF(AND(W13="Correctivo",X13="Manual"),"25%",""))))))</f>
        <v>40%</v>
      </c>
      <c r="Z13" s="134" t="s">
        <v>19</v>
      </c>
      <c r="AA13" s="134" t="s">
        <v>22</v>
      </c>
      <c r="AB13" s="134" t="s">
        <v>118</v>
      </c>
      <c r="AC13" s="136">
        <f t="shared" ref="AC13:AC17" si="6">IFERROR(IF(V13="Probabilidad",(M13-(+M13*Y13)),IF(V13="Impacto",M13,"")),"")</f>
        <v>0.12</v>
      </c>
      <c r="AD13" s="137" t="str">
        <f t="shared" ref="AD13:AD18" si="7">IFERROR(IF(AC13="","",IF(AC13&lt;=0.2,"Muy Baja",IF(AC13&lt;=0.4,"Baja",IF(AC13&lt;=0.6,"Media",IF(AC13&lt;=0.8,"Alta","Muy Alta"))))),"")</f>
        <v>Muy Baja</v>
      </c>
      <c r="AE13" s="135">
        <f t="shared" ref="AE13:AE18" si="8">+AC13</f>
        <v>0.12</v>
      </c>
      <c r="AF13" s="138" t="str">
        <f t="shared" ref="AF13:AF18" si="9">IFERROR(IF(AG13="","",IF(AG13&lt;=0.2,"Leve",IF(AG13&lt;=0.4,"Menor",IF(AG13&lt;=0.6,"Moderado",IF(AG13&lt;=0.8,"Mayor","Catastrófico"))))),"")</f>
        <v>Moderado</v>
      </c>
      <c r="AG13" s="135">
        <f t="shared" ref="AG13:AG17" si="10">IFERROR(IF(V13="Impacto",(Q13-(+Q13*Y13)),IF(V13="Probabilidad",Q13,"")),"")</f>
        <v>0.6</v>
      </c>
      <c r="AH13" s="139" t="str">
        <f t="shared" ref="AH13:AH18" si="11">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218" t="s">
        <v>134</v>
      </c>
      <c r="AJ13" s="140" t="s">
        <v>256</v>
      </c>
      <c r="AK13" s="169" t="s">
        <v>257</v>
      </c>
      <c r="AL13" s="141">
        <v>44572</v>
      </c>
      <c r="AM13" s="142">
        <v>44677</v>
      </c>
      <c r="AN13" s="132" t="s">
        <v>322</v>
      </c>
      <c r="AO13" s="174" t="s">
        <v>40</v>
      </c>
      <c r="AP13" s="175">
        <v>44784</v>
      </c>
      <c r="AQ13" s="172" t="s">
        <v>331</v>
      </c>
      <c r="AR13" s="170" t="s">
        <v>40</v>
      </c>
      <c r="AS13" s="167">
        <v>44873</v>
      </c>
      <c r="AT13" s="171" t="s">
        <v>349</v>
      </c>
      <c r="AU13" s="412" t="s">
        <v>39</v>
      </c>
      <c r="AV13" s="144"/>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row>
    <row r="14" spans="1:73" ht="216" customHeight="1" x14ac:dyDescent="0.25">
      <c r="A14" s="216"/>
      <c r="B14" s="216"/>
      <c r="C14" s="216"/>
      <c r="D14" s="221"/>
      <c r="E14" s="221"/>
      <c r="F14" s="409"/>
      <c r="G14" s="410"/>
      <c r="H14" s="221"/>
      <c r="I14" s="221"/>
      <c r="J14" s="221"/>
      <c r="K14" s="126">
        <v>2</v>
      </c>
      <c r="L14" s="127" t="str">
        <f t="shared" si="0"/>
        <v>Muy Baja</v>
      </c>
      <c r="M14" s="128">
        <f t="shared" si="1"/>
        <v>0.2</v>
      </c>
      <c r="N14" s="129" t="s">
        <v>151</v>
      </c>
      <c r="O14" s="130" t="str">
        <f>IF(NOT(ISERROR(MATCH(N14,'Tabla Impacto'!$B$221:$B$223,0))),'Tabla Impacto'!$F$223&amp;"Por favor no seleccionar los criterios de impacto(Afectación Económica o presupuestal y Pérdida Reputacional)",N14)</f>
        <v xml:space="preserve">     El riesgo afecta la imagen de la entidad con algunos usuarios de relevancia frente al logro de los objetivos</v>
      </c>
      <c r="P14" s="127" t="str">
        <f>IF(OR(O14='Tabla Impacto'!$C$11,O14='Tabla Impacto'!$D$11),"Leve",IF(OR(O14='Tabla Impacto'!$C$12,O14='Tabla Impacto'!$D$12),"Menor",IF(OR(O14='Tabla Impacto'!$C$13,O14='Tabla Impacto'!$D$13),"Moderado",IF(OR(O14='Tabla Impacto'!$C$14,O14='Tabla Impacto'!$D$14),"Mayor",IF(OR(O14='Tabla Impacto'!$C$15,O14='Tabla Impacto'!$D$15),"Catastrófico","")))))</f>
        <v>Moderado</v>
      </c>
      <c r="Q14" s="128">
        <f t="shared" si="2"/>
        <v>0.6</v>
      </c>
      <c r="R14" s="162" t="str">
        <f t="shared" si="3"/>
        <v>Moderado</v>
      </c>
      <c r="S14" s="131">
        <v>2</v>
      </c>
      <c r="T14" s="171" t="s">
        <v>285</v>
      </c>
      <c r="U14" s="171" t="s">
        <v>254</v>
      </c>
      <c r="V14" s="133" t="str">
        <f t="shared" si="4"/>
        <v>Probabilidad</v>
      </c>
      <c r="W14" s="134" t="s">
        <v>14</v>
      </c>
      <c r="X14" s="134" t="s">
        <v>9</v>
      </c>
      <c r="Y14" s="135" t="str">
        <f t="shared" si="5"/>
        <v>40%</v>
      </c>
      <c r="Z14" s="134" t="s">
        <v>19</v>
      </c>
      <c r="AA14" s="134" t="s">
        <v>22</v>
      </c>
      <c r="AB14" s="134" t="s">
        <v>118</v>
      </c>
      <c r="AC14" s="163">
        <f>IFERROR(IF(AND(V13="Probabilidad",V14="Probabilidad"),(AE13-(+AE13*Y14)),IF(V14="Probabilidad",(N13-(+N13*Y14)),IF(V14="Impacto",AE13,""))),"")</f>
        <v>7.1999999999999995E-2</v>
      </c>
      <c r="AD14" s="137" t="str">
        <f t="shared" si="7"/>
        <v>Muy Baja</v>
      </c>
      <c r="AE14" s="135">
        <f t="shared" si="8"/>
        <v>7.1999999999999995E-2</v>
      </c>
      <c r="AF14" s="138" t="str">
        <f t="shared" si="9"/>
        <v>Moderado</v>
      </c>
      <c r="AG14" s="165">
        <f>IFERROR(IF(AND(V13="Impacto",V14="Impacto"),(AG13-(+AG13*Y14)),IF(V14="Impacto",($M$10-(+$M$10*Y14)),IF(V14="Probabilidad",AG13,""))),"")</f>
        <v>0.6</v>
      </c>
      <c r="AH14" s="139" t="str">
        <f t="shared" si="11"/>
        <v>Moderado</v>
      </c>
      <c r="AI14" s="225"/>
      <c r="AJ14" s="132" t="s">
        <v>286</v>
      </c>
      <c r="AK14" s="132" t="s">
        <v>287</v>
      </c>
      <c r="AL14" s="141">
        <v>44613</v>
      </c>
      <c r="AM14" s="142">
        <v>44677</v>
      </c>
      <c r="AN14" s="145" t="s">
        <v>327</v>
      </c>
      <c r="AO14" s="174" t="s">
        <v>40</v>
      </c>
      <c r="AP14" s="175">
        <v>44784</v>
      </c>
      <c r="AQ14" s="172" t="s">
        <v>332</v>
      </c>
      <c r="AR14" s="170" t="s">
        <v>40</v>
      </c>
      <c r="AS14" s="167">
        <v>44873</v>
      </c>
      <c r="AT14" s="171" t="s">
        <v>348</v>
      </c>
      <c r="AU14" s="413"/>
      <c r="AV14" s="144"/>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row>
    <row r="15" spans="1:73" ht="121.5" customHeight="1" x14ac:dyDescent="0.25">
      <c r="A15" s="216"/>
      <c r="B15" s="216"/>
      <c r="C15" s="216"/>
      <c r="D15" s="221"/>
      <c r="E15" s="221"/>
      <c r="F15" s="409"/>
      <c r="G15" s="410"/>
      <c r="H15" s="221"/>
      <c r="I15" s="221"/>
      <c r="J15" s="221"/>
      <c r="K15" s="126">
        <v>2</v>
      </c>
      <c r="L15" s="127" t="str">
        <f t="shared" si="0"/>
        <v>Muy Baja</v>
      </c>
      <c r="M15" s="130">
        <f t="shared" si="1"/>
        <v>0.2</v>
      </c>
      <c r="N15" s="129" t="s">
        <v>151</v>
      </c>
      <c r="O15" s="130" t="str">
        <f>IF(NOT(ISERROR(MATCH(N15,_xlfn.ANCHORARRAY(#REF!),0))),#REF!&amp;"Por favor no seleccionar los criterios de impacto",N15)</f>
        <v xml:space="preserve">     El riesgo afecta la imagen de la entidad con algunos usuarios de relevancia frente al logro de los objetivos</v>
      </c>
      <c r="P15" s="146" t="str">
        <f>IF(OR(O15='Tabla Impacto'!$C$11,O15='Tabla Impacto'!$D$11),"Leve",IF(OR(O15='Tabla Impacto'!$C$12,O15='Tabla Impacto'!$D$12),"Menor",IF(OR(O15='Tabla Impacto'!$C$13,O15='Tabla Impacto'!$D$13),"Moderado",IF(OR(O15='Tabla Impacto'!$C$14,O15='Tabla Impacto'!$D$14),"Mayor",IF(OR(O15='Tabla Impacto'!$C$15,O15='Tabla Impacto'!$D$15),"Catastrófico","")))))</f>
        <v>Moderado</v>
      </c>
      <c r="Q15" s="130">
        <f t="shared" si="2"/>
        <v>0.6</v>
      </c>
      <c r="R15" s="147" t="str">
        <f t="shared" si="3"/>
        <v>Moderado</v>
      </c>
      <c r="S15" s="131">
        <v>3</v>
      </c>
      <c r="T15" s="171" t="s">
        <v>259</v>
      </c>
      <c r="U15" s="171" t="s">
        <v>260</v>
      </c>
      <c r="V15" s="133" t="str">
        <f t="shared" si="4"/>
        <v>Probabilidad</v>
      </c>
      <c r="W15" s="134" t="s">
        <v>14</v>
      </c>
      <c r="X15" s="134" t="s">
        <v>9</v>
      </c>
      <c r="Y15" s="135" t="str">
        <f t="shared" si="5"/>
        <v>40%</v>
      </c>
      <c r="Z15" s="134" t="s">
        <v>19</v>
      </c>
      <c r="AA15" s="134" t="s">
        <v>22</v>
      </c>
      <c r="AB15" s="134" t="s">
        <v>118</v>
      </c>
      <c r="AC15" s="163">
        <f>IFERROR(IF(AND(V14="Probabilidad",V15="Probabilidad"),(AE14-(+AE14*Y15)),IF(V15="Probabilidad",(N14-(+N14*Y15)),IF(V15="Impacto",AE14,""))),"")</f>
        <v>4.3199999999999995E-2</v>
      </c>
      <c r="AD15" s="138" t="str">
        <f t="shared" si="7"/>
        <v>Muy Baja</v>
      </c>
      <c r="AE15" s="135">
        <f t="shared" si="8"/>
        <v>4.3199999999999995E-2</v>
      </c>
      <c r="AF15" s="138" t="str">
        <f t="shared" si="9"/>
        <v>Moderado</v>
      </c>
      <c r="AG15" s="165">
        <f>IFERROR(IF(AND(V14="Impacto",V15="Impacto"),(AG14-(+AG14*Y15)),IF(V15="Impacto",($M$10-(+$M$10*Y15)),IF(V15="Probabilidad",AG14,""))),"")</f>
        <v>0.6</v>
      </c>
      <c r="AH15" s="139" t="str">
        <f t="shared" si="11"/>
        <v>Moderado</v>
      </c>
      <c r="AI15" s="225"/>
      <c r="AJ15" s="140" t="s">
        <v>321</v>
      </c>
      <c r="AK15" s="132" t="s">
        <v>287</v>
      </c>
      <c r="AL15" s="142">
        <v>44671</v>
      </c>
      <c r="AM15" s="142">
        <v>44677</v>
      </c>
      <c r="AN15" s="132" t="s">
        <v>326</v>
      </c>
      <c r="AO15" s="174" t="s">
        <v>40</v>
      </c>
      <c r="AP15" s="175">
        <v>44784</v>
      </c>
      <c r="AQ15" s="164" t="s">
        <v>333</v>
      </c>
      <c r="AR15" s="170" t="s">
        <v>40</v>
      </c>
      <c r="AS15" s="167">
        <v>44873</v>
      </c>
      <c r="AT15" s="171" t="s">
        <v>347</v>
      </c>
      <c r="AU15" s="413"/>
      <c r="AV15" s="148"/>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row>
    <row r="16" spans="1:73" ht="88.5" customHeight="1" x14ac:dyDescent="0.25">
      <c r="A16" s="217"/>
      <c r="B16" s="149"/>
      <c r="C16" s="149"/>
      <c r="D16" s="150"/>
      <c r="E16" s="222"/>
      <c r="F16" s="237"/>
      <c r="G16" s="239"/>
      <c r="H16" s="222"/>
      <c r="I16" s="222"/>
      <c r="J16" s="222"/>
      <c r="K16" s="126">
        <v>2</v>
      </c>
      <c r="L16" s="127" t="str">
        <f t="shared" si="0"/>
        <v>Muy Baja</v>
      </c>
      <c r="M16" s="130">
        <f t="shared" si="1"/>
        <v>0.2</v>
      </c>
      <c r="N16" s="129" t="s">
        <v>151</v>
      </c>
      <c r="O16" s="130" t="str">
        <f>IF(NOT(ISERROR(MATCH(N16,_xlfn.ANCHORARRAY(#REF!),0))),#REF!&amp;"Por favor no seleccionar los criterios de impacto",N16)</f>
        <v xml:space="preserve">     El riesgo afecta la imagen de la entidad con algunos usuarios de relevancia frente al logro de los objetivos</v>
      </c>
      <c r="P16" s="146" t="str">
        <f>IF(OR(O16='Tabla Impacto'!$C$11,O16='Tabla Impacto'!$D$11),"Leve",IF(OR(O16='Tabla Impacto'!$C$12,O16='Tabla Impacto'!$D$12),"Menor",IF(OR(O16='Tabla Impacto'!$C$13,O16='Tabla Impacto'!$D$13),"Moderado",IF(OR(O16='Tabla Impacto'!$C$14,O16='Tabla Impacto'!$D$14),"Mayor",IF(OR(O16='Tabla Impacto'!$C$15,O16='Tabla Impacto'!$D$15),"Catastrófico","")))))</f>
        <v>Moderado</v>
      </c>
      <c r="Q16" s="130">
        <f t="shared" si="2"/>
        <v>0.6</v>
      </c>
      <c r="R16" s="147" t="str">
        <f t="shared" si="3"/>
        <v>Moderado</v>
      </c>
      <c r="S16" s="131">
        <v>4</v>
      </c>
      <c r="T16" s="132" t="s">
        <v>288</v>
      </c>
      <c r="U16" s="151" t="s">
        <v>289</v>
      </c>
      <c r="V16" s="133" t="str">
        <f t="shared" si="4"/>
        <v>Probabilidad</v>
      </c>
      <c r="W16" s="134" t="s">
        <v>14</v>
      </c>
      <c r="X16" s="134" t="s">
        <v>9</v>
      </c>
      <c r="Y16" s="135" t="str">
        <f t="shared" si="5"/>
        <v>40%</v>
      </c>
      <c r="Z16" s="134" t="s">
        <v>19</v>
      </c>
      <c r="AA16" s="134" t="s">
        <v>22</v>
      </c>
      <c r="AB16" s="134" t="s">
        <v>118</v>
      </c>
      <c r="AC16" s="163">
        <f>IFERROR(IF(AND(V15="Probabilidad",V16="Probabilidad"),(AE15-(+AE15*Y16)),IF(V16="Probabilidad",(N15-(+N15*Y16)),IF(V16="Impacto",AE15,""))),"")</f>
        <v>2.5919999999999995E-2</v>
      </c>
      <c r="AD16" s="138" t="str">
        <f t="shared" si="7"/>
        <v>Muy Baja</v>
      </c>
      <c r="AE16" s="135">
        <f t="shared" si="8"/>
        <v>2.5919999999999995E-2</v>
      </c>
      <c r="AF16" s="138" t="str">
        <f t="shared" si="9"/>
        <v>Moderado</v>
      </c>
      <c r="AG16" s="165">
        <f>IFERROR(IF(AND(V15="Impacto",V16="Impacto"),(AG15-(+AG15*Y16)),IF(V16="Impacto",($M$10-(+$M$10*Y16)),IF(V16="Probabilidad",AG15,""))),"")</f>
        <v>0.6</v>
      </c>
      <c r="AH16" s="139" t="str">
        <f t="shared" si="11"/>
        <v>Moderado</v>
      </c>
      <c r="AI16" s="219"/>
      <c r="AJ16" s="132" t="s">
        <v>290</v>
      </c>
      <c r="AK16" s="169" t="s">
        <v>257</v>
      </c>
      <c r="AL16" s="142">
        <v>44572</v>
      </c>
      <c r="AM16" s="142">
        <v>44677</v>
      </c>
      <c r="AN16" s="132" t="s">
        <v>324</v>
      </c>
      <c r="AO16" s="174" t="s">
        <v>40</v>
      </c>
      <c r="AP16" s="175">
        <v>44784</v>
      </c>
      <c r="AQ16" s="164" t="s">
        <v>334</v>
      </c>
      <c r="AR16" s="170" t="s">
        <v>40</v>
      </c>
      <c r="AS16" s="167">
        <v>44873</v>
      </c>
      <c r="AT16" s="171" t="s">
        <v>346</v>
      </c>
      <c r="AU16" s="414"/>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row>
    <row r="17" spans="1:73" ht="172.5" customHeight="1" x14ac:dyDescent="0.25">
      <c r="A17" s="215">
        <v>2</v>
      </c>
      <c r="B17" s="215" t="s">
        <v>229</v>
      </c>
      <c r="C17" s="215" t="s">
        <v>237</v>
      </c>
      <c r="D17" s="220" t="s">
        <v>131</v>
      </c>
      <c r="E17" s="236" t="s">
        <v>272</v>
      </c>
      <c r="F17" s="236" t="s">
        <v>275</v>
      </c>
      <c r="G17" s="238" t="s">
        <v>276</v>
      </c>
      <c r="H17" s="220" t="s">
        <v>122</v>
      </c>
      <c r="I17" s="220" t="s">
        <v>243</v>
      </c>
      <c r="J17" s="220" t="s">
        <v>247</v>
      </c>
      <c r="K17" s="143">
        <v>345</v>
      </c>
      <c r="L17" s="146" t="str">
        <f t="shared" si="0"/>
        <v>Media</v>
      </c>
      <c r="M17" s="130">
        <f t="shared" si="1"/>
        <v>0.6</v>
      </c>
      <c r="N17" s="152" t="s">
        <v>142</v>
      </c>
      <c r="O17" s="130" t="str">
        <f>IF(NOT(ISERROR(MATCH(N17,_xlfn.ANCHORARRAY(#REF!),0))),#REF!&amp;"Por favor no seleccionar los criterios de impacto",N17)</f>
        <v xml:space="preserve">     Afectación menor a 10 SMLMV .</v>
      </c>
      <c r="P17" s="146" t="str">
        <f>IF(OR(O17='Tabla Impacto'!$C$11,O17='Tabla Impacto'!$D$11),"Leve",IF(OR(O17='Tabla Impacto'!$C$12,O17='Tabla Impacto'!$D$12),"Menor",IF(OR(O17='Tabla Impacto'!$C$13,O17='Tabla Impacto'!$D$13),"Moderado",IF(OR(O17='Tabla Impacto'!$C$14,O17='Tabla Impacto'!$D$14),"Mayor",IF(OR(O17='Tabla Impacto'!$C$15,O17='Tabla Impacto'!$D$15),"Catastrófico","")))))</f>
        <v>Leve</v>
      </c>
      <c r="Q17" s="130">
        <f t="shared" si="2"/>
        <v>0.2</v>
      </c>
      <c r="R17" s="147" t="str">
        <f t="shared" si="3"/>
        <v>Moderado</v>
      </c>
      <c r="S17" s="131">
        <v>1</v>
      </c>
      <c r="T17" s="170" t="s">
        <v>262</v>
      </c>
      <c r="U17" s="170" t="s">
        <v>291</v>
      </c>
      <c r="V17" s="133" t="str">
        <f t="shared" si="4"/>
        <v>Probabilidad</v>
      </c>
      <c r="W17" s="134" t="s">
        <v>15</v>
      </c>
      <c r="X17" s="134" t="s">
        <v>9</v>
      </c>
      <c r="Y17" s="135" t="str">
        <f t="shared" si="5"/>
        <v>30%</v>
      </c>
      <c r="Z17" s="134" t="s">
        <v>19</v>
      </c>
      <c r="AA17" s="134" t="s">
        <v>22</v>
      </c>
      <c r="AB17" s="134" t="s">
        <v>118</v>
      </c>
      <c r="AC17" s="136">
        <f t="shared" si="6"/>
        <v>0.42</v>
      </c>
      <c r="AD17" s="138" t="str">
        <f t="shared" si="7"/>
        <v>Media</v>
      </c>
      <c r="AE17" s="135">
        <f t="shared" si="8"/>
        <v>0.42</v>
      </c>
      <c r="AF17" s="138" t="str">
        <f t="shared" si="9"/>
        <v>Leve</v>
      </c>
      <c r="AG17" s="135">
        <f t="shared" si="10"/>
        <v>0.2</v>
      </c>
      <c r="AH17" s="139" t="str">
        <f t="shared" si="11"/>
        <v>Moderado</v>
      </c>
      <c r="AI17" s="218" t="s">
        <v>134</v>
      </c>
      <c r="AJ17" s="132" t="s">
        <v>263</v>
      </c>
      <c r="AK17" s="166" t="s">
        <v>261</v>
      </c>
      <c r="AL17" s="142">
        <v>44572</v>
      </c>
      <c r="AM17" s="142">
        <v>44679</v>
      </c>
      <c r="AN17" s="132" t="s">
        <v>314</v>
      </c>
      <c r="AO17" s="174" t="s">
        <v>40</v>
      </c>
      <c r="AP17" s="175">
        <v>44784</v>
      </c>
      <c r="AQ17" s="164" t="s">
        <v>338</v>
      </c>
      <c r="AR17" s="170" t="s">
        <v>40</v>
      </c>
      <c r="AS17" s="167">
        <v>44873</v>
      </c>
      <c r="AT17" s="415" t="s">
        <v>350</v>
      </c>
      <c r="AU17" s="412" t="s">
        <v>39</v>
      </c>
      <c r="AV17" s="144" t="s">
        <v>345</v>
      </c>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row>
    <row r="18" spans="1:73" ht="130.5" customHeight="1" x14ac:dyDescent="0.25">
      <c r="A18" s="217"/>
      <c r="B18" s="217"/>
      <c r="C18" s="217"/>
      <c r="D18" s="222"/>
      <c r="E18" s="237"/>
      <c r="F18" s="237"/>
      <c r="G18" s="239"/>
      <c r="H18" s="222"/>
      <c r="I18" s="222"/>
      <c r="J18" s="222"/>
      <c r="K18" s="143">
        <v>345</v>
      </c>
      <c r="L18" s="146" t="str">
        <f t="shared" si="0"/>
        <v>Media</v>
      </c>
      <c r="M18" s="130">
        <f t="shared" si="1"/>
        <v>0.6</v>
      </c>
      <c r="N18" s="152" t="s">
        <v>142</v>
      </c>
      <c r="O18" s="130" t="str">
        <f>IF(NOT(ISERROR(MATCH(N18,_xlfn.ANCHORARRAY(#REF!),0))),#REF!&amp;"Por favor no seleccionar los criterios de impacto",N18)</f>
        <v xml:space="preserve">     Afectación menor a 10 SMLMV .</v>
      </c>
      <c r="P18" s="146" t="str">
        <f>IF(OR(O18='Tabla Impacto'!$C$11,O18='Tabla Impacto'!$D$11),"Leve",IF(OR(O18='Tabla Impacto'!$C$12,O18='Tabla Impacto'!$D$12),"Menor",IF(OR(O18='Tabla Impacto'!$C$13,O18='Tabla Impacto'!$D$13),"Moderado",IF(OR(O18='Tabla Impacto'!$C$14,O18='Tabla Impacto'!$D$14),"Mayor",IF(OR(O18='Tabla Impacto'!$C$15,O18='Tabla Impacto'!$D$15),"Catastrófico","")))))</f>
        <v>Leve</v>
      </c>
      <c r="Q18" s="130">
        <f t="shared" si="2"/>
        <v>0.2</v>
      </c>
      <c r="R18" s="147" t="str">
        <f t="shared" si="3"/>
        <v>Moderado</v>
      </c>
      <c r="S18" s="131">
        <v>2</v>
      </c>
      <c r="T18" s="132" t="s">
        <v>292</v>
      </c>
      <c r="U18" s="132" t="s">
        <v>293</v>
      </c>
      <c r="V18" s="133" t="str">
        <f t="shared" si="4"/>
        <v>Probabilidad</v>
      </c>
      <c r="W18" s="134" t="s">
        <v>14</v>
      </c>
      <c r="X18" s="134" t="s">
        <v>9</v>
      </c>
      <c r="Y18" s="135" t="str">
        <f t="shared" si="5"/>
        <v>40%</v>
      </c>
      <c r="Z18" s="134" t="s">
        <v>19</v>
      </c>
      <c r="AA18" s="134" t="s">
        <v>22</v>
      </c>
      <c r="AB18" s="134" t="s">
        <v>118</v>
      </c>
      <c r="AC18" s="163">
        <f>IFERROR(IF(AND(V17="Probabilidad",V18="Probabilidad"),(AE17-(+AE17*Y18)),IF(V18="Probabilidad",(N17-(+N17*Y18)),IF(V18="Impacto",AE17,""))),"")</f>
        <v>0.252</v>
      </c>
      <c r="AD18" s="138" t="str">
        <f t="shared" si="7"/>
        <v>Baja</v>
      </c>
      <c r="AE18" s="135">
        <f t="shared" si="8"/>
        <v>0.252</v>
      </c>
      <c r="AF18" s="138" t="str">
        <f t="shared" si="9"/>
        <v>Leve</v>
      </c>
      <c r="AG18" s="165">
        <f>IFERROR(IF(AND(V17="Impacto",V18="Impacto"),(AG17-(+AG17*Y18)),IF(V18="Impacto",($M$10-(+$M$10*Y18)),IF(V18="Probabilidad",AG17,""))),"")</f>
        <v>0.2</v>
      </c>
      <c r="AH18" s="139" t="str">
        <f t="shared" si="11"/>
        <v>Bajo</v>
      </c>
      <c r="AI18" s="219"/>
      <c r="AJ18" s="132" t="s">
        <v>313</v>
      </c>
      <c r="AK18" s="166" t="s">
        <v>261</v>
      </c>
      <c r="AL18" s="142">
        <v>44572</v>
      </c>
      <c r="AM18" s="142">
        <v>44679</v>
      </c>
      <c r="AN18" s="132" t="s">
        <v>315</v>
      </c>
      <c r="AO18" s="174" t="s">
        <v>40</v>
      </c>
      <c r="AP18" s="175">
        <v>44784</v>
      </c>
      <c r="AQ18" s="172" t="s">
        <v>335</v>
      </c>
      <c r="AR18" s="170" t="s">
        <v>40</v>
      </c>
      <c r="AS18" s="167">
        <v>44873</v>
      </c>
      <c r="AT18" s="171" t="s">
        <v>351</v>
      </c>
      <c r="AU18" s="414"/>
      <c r="AV18" s="144" t="s">
        <v>345</v>
      </c>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row>
    <row r="19" spans="1:73" ht="172.9" customHeight="1" x14ac:dyDescent="0.25">
      <c r="A19" s="131">
        <v>3</v>
      </c>
      <c r="B19" s="131" t="s">
        <v>229</v>
      </c>
      <c r="C19" s="131" t="s">
        <v>237</v>
      </c>
      <c r="D19" s="132" t="s">
        <v>130</v>
      </c>
      <c r="E19" s="132" t="s">
        <v>264</v>
      </c>
      <c r="F19" s="132" t="s">
        <v>294</v>
      </c>
      <c r="G19" s="140" t="s">
        <v>274</v>
      </c>
      <c r="H19" s="132" t="s">
        <v>122</v>
      </c>
      <c r="I19" s="132" t="s">
        <v>243</v>
      </c>
      <c r="J19" s="132" t="s">
        <v>247</v>
      </c>
      <c r="K19" s="143">
        <v>365</v>
      </c>
      <c r="L19" s="146" t="str">
        <f t="shared" ref="L19:L24" si="12">IF(K19&lt;=0,"",IF(K19&lt;=2,"Muy Baja",IF(K19&lt;=24,"Baja",IF(K19&lt;=500,"Media",IF(K19&lt;=5000,"Alta","Muy Alta")))))</f>
        <v>Media</v>
      </c>
      <c r="M19" s="130">
        <f t="shared" ref="M19:M24" si="13">IF(L19="","",IF(L19="Muy Baja",0.2,IF(L19="Baja",0.4,IF(L19="Media",0.6,IF(L19="Alta",0.8,IF(L19="Muy Alta",1,))))))</f>
        <v>0.6</v>
      </c>
      <c r="N19" s="152" t="s">
        <v>151</v>
      </c>
      <c r="O19" s="130" t="str">
        <f>IF(NOT(ISERROR(MATCH(N19,_xlfn.ANCHORARRAY(#REF!),0))),#REF!&amp;"Por favor no seleccionar los criterios de impacto",N19)</f>
        <v xml:space="preserve">     El riesgo afecta la imagen de la entidad con algunos usuarios de relevancia frente al logro de los objetivos</v>
      </c>
      <c r="P19" s="146" t="str">
        <f>IF(OR(O19='Tabla Impacto'!$C$11,O19='Tabla Impacto'!$D$11),"Leve",IF(OR(O19='Tabla Impacto'!$C$12,O19='Tabla Impacto'!$D$12),"Menor",IF(OR(O19='Tabla Impacto'!$C$13,O19='Tabla Impacto'!$D$13),"Moderado",IF(OR(O19='Tabla Impacto'!$C$14,O19='Tabla Impacto'!$D$14),"Mayor",IF(OR(O19='Tabla Impacto'!$C$15,O19='Tabla Impacto'!$D$15),"Catastrófico","")))))</f>
        <v>Moderado</v>
      </c>
      <c r="Q19" s="130">
        <f t="shared" ref="Q19:Q24" si="14">IF(P19="","",IF(P19="Leve",0.2,IF(P19="Menor",0.4,IF(P19="Moderado",0.6,IF(P19="Mayor",0.8,IF(P19="Catastrófico",1,))))))</f>
        <v>0.6</v>
      </c>
      <c r="R19" s="147" t="str">
        <f t="shared" si="3"/>
        <v>Moderado</v>
      </c>
      <c r="S19" s="131">
        <v>1</v>
      </c>
      <c r="T19" s="171" t="s">
        <v>325</v>
      </c>
      <c r="U19" s="171" t="s">
        <v>273</v>
      </c>
      <c r="V19" s="133" t="str">
        <f t="shared" ref="V19:V25" si="15">IF(OR(W19="Preventivo",W19="Detectivo"),"Probabilidad",IF(W19="Correctivo","Impacto",""))</f>
        <v>Probabilidad</v>
      </c>
      <c r="W19" s="134" t="s">
        <v>14</v>
      </c>
      <c r="X19" s="134" t="s">
        <v>9</v>
      </c>
      <c r="Y19" s="135" t="str">
        <f t="shared" ref="Y19:Y21" si="16">IF(AND(W19="Preventivo",X19="Automático"),"50%",IF(AND(W19="Preventivo",X19="Manual"),"40%",IF(AND(W19="Detectivo",X19="Automático"),"40%",IF(AND(W19="Detectivo",X19="Manual"),"30%",IF(AND(W19="Correctivo",X19="Automático"),"35%",IF(AND(W19="Correctivo",X19="Manual"),"25%",""))))))</f>
        <v>40%</v>
      </c>
      <c r="Z19" s="134" t="s">
        <v>19</v>
      </c>
      <c r="AA19" s="134" t="s">
        <v>22</v>
      </c>
      <c r="AB19" s="134" t="s">
        <v>118</v>
      </c>
      <c r="AC19" s="136">
        <f t="shared" ref="AC19:AC21" si="17">IFERROR(IF(V19="Probabilidad",(M19-(+M19*Y19)),IF(V19="Impacto",M19,"")),"")</f>
        <v>0.36</v>
      </c>
      <c r="AD19" s="138" t="str">
        <f t="shared" ref="AD19:AD25" si="18">IFERROR(IF(AC19="","",IF(AC19&lt;=0.2,"Muy Baja",IF(AC19&lt;=0.4,"Baja",IF(AC19&lt;=0.6,"Media",IF(AC19&lt;=0.8,"Alta","Muy Alta"))))),"")</f>
        <v>Baja</v>
      </c>
      <c r="AE19" s="135">
        <f t="shared" ref="AE19:AE21" si="19">+AC19</f>
        <v>0.36</v>
      </c>
      <c r="AF19" s="138" t="str">
        <f t="shared" ref="AF19:AF25" si="20">IFERROR(IF(AG19="","",IF(AG19&lt;=0.2,"Leve",IF(AG19&lt;=0.4,"Menor",IF(AG19&lt;=0.6,"Moderado",IF(AG19&lt;=0.8,"Mayor","Catastrófico"))))),"")</f>
        <v>Moderado</v>
      </c>
      <c r="AG19" s="135">
        <f t="shared" ref="AG19:AG21" si="21">IFERROR(IF(V19="Impacto",(Q19-(+Q19*Y19)),IF(V19="Probabilidad",Q19,"")),"")</f>
        <v>0.6</v>
      </c>
      <c r="AH19" s="139" t="str">
        <f t="shared" ref="AH19:AH21" si="22">IFERROR(IF(OR(AND(AD19="Muy Baja",AF19="Leve"),AND(AD19="Muy Baja",AF19="Menor"),AND(AD19="Baja",AF19="Leve")),"Bajo",IF(OR(AND(AD19="Muy baja",AF19="Moderado"),AND(AD19="Baja",AF19="Menor"),AND(AD19="Baja",AF19="Moderado"),AND(AD19="Media",AF19="Leve"),AND(AD19="Media",AF19="Menor"),AND(AD19="Media",AF19="Moderado"),AND(AD19="Alta",AF19="Leve"),AND(AD19="Alta",AF19="Menor")),"Moderado",IF(OR(AND(AD19="Muy Baja",AF19="Mayor"),AND(AD19="Baja",AF19="Mayor"),AND(AD19="Media",AF19="Mayor"),AND(AD19="Alta",AF19="Moderado"),AND(AD19="Alta",AF19="Mayor"),AND(AD19="Muy Alta",AF19="Leve"),AND(AD19="Muy Alta",AF19="Menor"),AND(AD19="Muy Alta",AF19="Moderado"),AND(AD19="Muy Alta",AF19="Mayor")),"Alto",IF(OR(AND(AD19="Muy Baja",AF19="Catastrófico"),AND(AD19="Baja",AF19="Catastrófico"),AND(AD19="Media",AF19="Catastrófico"),AND(AD19="Alta",AF19="Catastrófico"),AND(AD19="Muy Alta",AF19="Catastrófico")),"Extremo","")))),"")</f>
        <v>Moderado</v>
      </c>
      <c r="AI19" s="134" t="s">
        <v>134</v>
      </c>
      <c r="AJ19" s="132" t="s">
        <v>295</v>
      </c>
      <c r="AK19" s="166" t="s">
        <v>261</v>
      </c>
      <c r="AL19" s="142">
        <v>44572</v>
      </c>
      <c r="AM19" s="142">
        <v>44677</v>
      </c>
      <c r="AN19" s="132" t="s">
        <v>316</v>
      </c>
      <c r="AO19" s="174" t="s">
        <v>40</v>
      </c>
      <c r="AP19" s="175">
        <v>44784</v>
      </c>
      <c r="AQ19" s="172" t="s">
        <v>337</v>
      </c>
      <c r="AR19" s="170" t="s">
        <v>40</v>
      </c>
      <c r="AS19" s="167">
        <v>44873</v>
      </c>
      <c r="AT19" s="171" t="s">
        <v>352</v>
      </c>
      <c r="AU19" s="174" t="s">
        <v>39</v>
      </c>
      <c r="AV19" s="144"/>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row>
    <row r="20" spans="1:73" ht="162.75" customHeight="1" x14ac:dyDescent="0.25">
      <c r="A20" s="131">
        <v>4</v>
      </c>
      <c r="B20" s="131" t="s">
        <v>229</v>
      </c>
      <c r="C20" s="131" t="s">
        <v>237</v>
      </c>
      <c r="D20" s="132" t="s">
        <v>130</v>
      </c>
      <c r="E20" s="132" t="s">
        <v>265</v>
      </c>
      <c r="F20" s="132" t="s">
        <v>277</v>
      </c>
      <c r="G20" s="140" t="s">
        <v>296</v>
      </c>
      <c r="H20" s="132" t="s">
        <v>122</v>
      </c>
      <c r="I20" s="132" t="s">
        <v>244</v>
      </c>
      <c r="J20" s="132" t="s">
        <v>248</v>
      </c>
      <c r="K20" s="143">
        <v>1</v>
      </c>
      <c r="L20" s="146" t="str">
        <f t="shared" si="12"/>
        <v>Muy Baja</v>
      </c>
      <c r="M20" s="130">
        <f t="shared" si="13"/>
        <v>0.2</v>
      </c>
      <c r="N20" s="152" t="s">
        <v>151</v>
      </c>
      <c r="O20" s="130" t="str">
        <f>IF(NOT(ISERROR(MATCH(N20,_xlfn.ANCHORARRAY(#REF!),0))),#REF!&amp;"Por favor no seleccionar los criterios de impacto",N20)</f>
        <v xml:space="preserve">     El riesgo afecta la imagen de la entidad con algunos usuarios de relevancia frente al logro de los objetivos</v>
      </c>
      <c r="P20" s="146" t="str">
        <f>IF(OR(O20='Tabla Impacto'!$C$11,O20='Tabla Impacto'!$D$11),"Leve",IF(OR(O20='Tabla Impacto'!$C$12,O20='Tabla Impacto'!$D$12),"Menor",IF(OR(O20='Tabla Impacto'!$C$13,O20='Tabla Impacto'!$D$13),"Moderado",IF(OR(O20='Tabla Impacto'!$C$14,O20='Tabla Impacto'!$D$14),"Mayor",IF(OR(O20='Tabla Impacto'!$C$15,O20='Tabla Impacto'!$D$15),"Catastrófico","")))))</f>
        <v>Moderado</v>
      </c>
      <c r="Q20" s="130">
        <f t="shared" si="14"/>
        <v>0.6</v>
      </c>
      <c r="R20" s="147" t="str">
        <f t="shared" ref="R20:R21" si="23">IF(OR(AND(L20="Muy Baja",P20="Leve"),AND(L20="Muy Baja",P20="Menor"),AND(L20="Baja",P20="Leve")),"Bajo",IF(OR(AND(L20="Muy baja",P20="Moderado"),AND(L20="Baja",P20="Menor"),AND(L20="Baja",P20="Moderado"),AND(L20="Media",P20="Leve"),AND(L20="Media",P20="Menor"),AND(L20="Media",P20="Moderado"),AND(L20="Alta",P20="Leve"),AND(L20="Alta",P20="Menor")),"Moderado",IF(OR(AND(L20="Muy Baja",P20="Mayor"),AND(L20="Baja",P20="Mayor"),AND(L20="Media",P20="Mayor"),AND(L20="Alta",P20="Moderado"),AND(L20="Alta",P20="Mayor"),AND(L20="Muy Alta",P20="Leve"),AND(L20="Muy Alta",P20="Menor"),AND(L20="Muy Alta",P20="Moderado"),AND(L20="Muy Alta",P20="Mayor")),"Alto",IF(OR(AND(L20="Muy Baja",P20="Catastrófico"),AND(L20="Baja",P20="Catastrófico"),AND(L20="Media",P20="Catastrófico"),AND(L20="Alta",P20="Catastrófico"),AND(L20="Muy Alta",P20="Catastrófico")),"Extremo",""))))</f>
        <v>Moderado</v>
      </c>
      <c r="S20" s="131">
        <v>1</v>
      </c>
      <c r="T20" s="171" t="s">
        <v>297</v>
      </c>
      <c r="U20" s="171" t="s">
        <v>298</v>
      </c>
      <c r="V20" s="133" t="str">
        <f t="shared" si="15"/>
        <v>Probabilidad</v>
      </c>
      <c r="W20" s="134" t="s">
        <v>14</v>
      </c>
      <c r="X20" s="134" t="s">
        <v>9</v>
      </c>
      <c r="Y20" s="135" t="str">
        <f t="shared" si="16"/>
        <v>40%</v>
      </c>
      <c r="Z20" s="134" t="s">
        <v>20</v>
      </c>
      <c r="AA20" s="134" t="s">
        <v>22</v>
      </c>
      <c r="AB20" s="134" t="s">
        <v>118</v>
      </c>
      <c r="AC20" s="136">
        <f t="shared" si="17"/>
        <v>0.12</v>
      </c>
      <c r="AD20" s="138" t="str">
        <f t="shared" si="18"/>
        <v>Muy Baja</v>
      </c>
      <c r="AE20" s="135">
        <f t="shared" si="19"/>
        <v>0.12</v>
      </c>
      <c r="AF20" s="138" t="str">
        <f t="shared" si="20"/>
        <v>Moderado</v>
      </c>
      <c r="AG20" s="135">
        <f t="shared" si="21"/>
        <v>0.6</v>
      </c>
      <c r="AH20" s="139" t="str">
        <f t="shared" si="22"/>
        <v>Moderado</v>
      </c>
      <c r="AI20" s="134" t="s">
        <v>134</v>
      </c>
      <c r="AJ20" s="132" t="s">
        <v>279</v>
      </c>
      <c r="AK20" s="166" t="s">
        <v>261</v>
      </c>
      <c r="AL20" s="142">
        <v>44572</v>
      </c>
      <c r="AM20" s="142">
        <v>44677</v>
      </c>
      <c r="AN20" s="132" t="s">
        <v>312</v>
      </c>
      <c r="AO20" s="174" t="s">
        <v>40</v>
      </c>
      <c r="AP20" s="175">
        <v>44784</v>
      </c>
      <c r="AQ20" s="173" t="s">
        <v>336</v>
      </c>
      <c r="AR20" s="170" t="s">
        <v>40</v>
      </c>
      <c r="AS20" s="167">
        <v>44873</v>
      </c>
      <c r="AT20" s="132" t="s">
        <v>353</v>
      </c>
      <c r="AU20" s="174" t="s">
        <v>39</v>
      </c>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row>
    <row r="21" spans="1:73" ht="126" customHeight="1" x14ac:dyDescent="0.25">
      <c r="A21" s="215">
        <v>5</v>
      </c>
      <c r="B21" s="215" t="s">
        <v>229</v>
      </c>
      <c r="C21" s="223" t="s">
        <v>237</v>
      </c>
      <c r="D21" s="220" t="s">
        <v>130</v>
      </c>
      <c r="E21" s="220" t="s">
        <v>266</v>
      </c>
      <c r="F21" s="220" t="s">
        <v>300</v>
      </c>
      <c r="G21" s="404" t="s">
        <v>299</v>
      </c>
      <c r="H21" s="403" t="s">
        <v>122</v>
      </c>
      <c r="I21" s="403" t="s">
        <v>244</v>
      </c>
      <c r="J21" s="403" t="s">
        <v>248</v>
      </c>
      <c r="K21" s="153">
        <v>6</v>
      </c>
      <c r="L21" s="146" t="str">
        <f t="shared" si="12"/>
        <v>Baja</v>
      </c>
      <c r="M21" s="130">
        <f t="shared" si="13"/>
        <v>0.4</v>
      </c>
      <c r="N21" s="152" t="s">
        <v>151</v>
      </c>
      <c r="O21" s="130" t="str">
        <f>IF(NOT(ISERROR(MATCH(N21,_xlfn.ANCHORARRAY(#REF!),0))),#REF!&amp;"Por favor no seleccionar los criterios de impacto",N21)</f>
        <v xml:space="preserve">     El riesgo afecta la imagen de la entidad con algunos usuarios de relevancia frente al logro de los objetivos</v>
      </c>
      <c r="P21" s="146" t="str">
        <f>IF(OR(O21='Tabla Impacto'!$C$11,O21='Tabla Impacto'!$D$11),"Leve",IF(OR(O21='Tabla Impacto'!$C$12,O21='Tabla Impacto'!$D$12),"Menor",IF(OR(O21='Tabla Impacto'!$C$13,O21='Tabla Impacto'!$D$13),"Moderado",IF(OR(O21='Tabla Impacto'!$C$14,O21='Tabla Impacto'!$D$14),"Mayor",IF(OR(O21='Tabla Impacto'!$C$15,O21='Tabla Impacto'!$D$15),"Catastrófico","")))))</f>
        <v>Moderado</v>
      </c>
      <c r="Q21" s="130">
        <f t="shared" si="14"/>
        <v>0.6</v>
      </c>
      <c r="R21" s="147" t="str">
        <f t="shared" si="23"/>
        <v>Moderado</v>
      </c>
      <c r="S21" s="131">
        <v>1</v>
      </c>
      <c r="T21" s="171" t="s">
        <v>301</v>
      </c>
      <c r="U21" s="171" t="s">
        <v>302</v>
      </c>
      <c r="V21" s="133" t="str">
        <f t="shared" si="15"/>
        <v>Probabilidad</v>
      </c>
      <c r="W21" s="134" t="s">
        <v>14</v>
      </c>
      <c r="X21" s="134" t="s">
        <v>9</v>
      </c>
      <c r="Y21" s="135" t="str">
        <f t="shared" si="16"/>
        <v>40%</v>
      </c>
      <c r="Z21" s="134" t="s">
        <v>20</v>
      </c>
      <c r="AA21" s="134" t="s">
        <v>22</v>
      </c>
      <c r="AB21" s="134" t="s">
        <v>118</v>
      </c>
      <c r="AC21" s="136">
        <f t="shared" si="17"/>
        <v>0.24</v>
      </c>
      <c r="AD21" s="138" t="str">
        <f t="shared" si="18"/>
        <v>Baja</v>
      </c>
      <c r="AE21" s="135">
        <f t="shared" si="19"/>
        <v>0.24</v>
      </c>
      <c r="AF21" s="138" t="str">
        <f t="shared" si="20"/>
        <v>Moderado</v>
      </c>
      <c r="AG21" s="135">
        <f t="shared" si="21"/>
        <v>0.6</v>
      </c>
      <c r="AH21" s="139" t="str">
        <f t="shared" si="22"/>
        <v>Moderado</v>
      </c>
      <c r="AI21" s="218" t="s">
        <v>134</v>
      </c>
      <c r="AJ21" s="132" t="s">
        <v>303</v>
      </c>
      <c r="AK21" s="168" t="s">
        <v>287</v>
      </c>
      <c r="AL21" s="142">
        <v>44634</v>
      </c>
      <c r="AM21" s="142">
        <v>44677</v>
      </c>
      <c r="AN21" s="145" t="s">
        <v>320</v>
      </c>
      <c r="AO21" s="174" t="s">
        <v>40</v>
      </c>
      <c r="AP21" s="175">
        <v>44784</v>
      </c>
      <c r="AQ21" s="173" t="s">
        <v>339</v>
      </c>
      <c r="AR21" s="170" t="s">
        <v>40</v>
      </c>
      <c r="AS21" s="167">
        <v>44873</v>
      </c>
      <c r="AT21" s="132" t="s">
        <v>354</v>
      </c>
      <c r="AU21" s="412" t="s">
        <v>39</v>
      </c>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row>
    <row r="22" spans="1:73" ht="193.5" customHeight="1" x14ac:dyDescent="0.25">
      <c r="A22" s="217"/>
      <c r="B22" s="217"/>
      <c r="C22" s="224"/>
      <c r="D22" s="222"/>
      <c r="E22" s="222"/>
      <c r="F22" s="222"/>
      <c r="G22" s="408"/>
      <c r="H22" s="407"/>
      <c r="I22" s="407"/>
      <c r="J22" s="407"/>
      <c r="K22" s="153">
        <v>6</v>
      </c>
      <c r="L22" s="146" t="str">
        <f t="shared" si="12"/>
        <v>Baja</v>
      </c>
      <c r="M22" s="130">
        <f t="shared" si="13"/>
        <v>0.4</v>
      </c>
      <c r="N22" s="152" t="s">
        <v>151</v>
      </c>
      <c r="O22" s="130" t="str">
        <f>IF(NOT(ISERROR(MATCH(N22,_xlfn.ANCHORARRAY(#REF!),0))),#REF!&amp;"Por favor no seleccionar los criterios de impacto",N22)</f>
        <v xml:space="preserve">     El riesgo afecta la imagen de la entidad con algunos usuarios de relevancia frente al logro de los objetivos</v>
      </c>
      <c r="P22" s="146" t="str">
        <f>IF(OR(O22='Tabla Impacto'!$C$11,O22='Tabla Impacto'!$D$11),"Leve",IF(OR(O22='Tabla Impacto'!$C$12,O22='Tabla Impacto'!$D$12),"Menor",IF(OR(O22='Tabla Impacto'!$C$13,O22='Tabla Impacto'!$D$13),"Moderado",IF(OR(O22='Tabla Impacto'!$C$14,O22='Tabla Impacto'!$D$14),"Mayor",IF(OR(O22='Tabla Impacto'!$C$15,O22='Tabla Impacto'!$D$15),"Catastrófico","")))))</f>
        <v>Moderado</v>
      </c>
      <c r="Q22" s="130">
        <f t="shared" si="14"/>
        <v>0.6</v>
      </c>
      <c r="R22" s="147" t="str">
        <f t="shared" ref="R22:R23" si="24">IF(OR(AND(L22="Muy Baja",P22="Leve"),AND(L22="Muy Baja",P22="Menor"),AND(L22="Baja",P22="Leve")),"Bajo",IF(OR(AND(L22="Muy baja",P22="Moderado"),AND(L22="Baja",P22="Menor"),AND(L22="Baja",P22="Moderado"),AND(L22="Media",P22="Leve"),AND(L22="Media",P22="Menor"),AND(L22="Media",P22="Moderado"),AND(L22="Alta",P22="Leve"),AND(L22="Alta",P22="Menor")),"Moderado",IF(OR(AND(L22="Muy Baja",P22="Mayor"),AND(L22="Baja",P22="Mayor"),AND(L22="Media",P22="Mayor"),AND(L22="Alta",P22="Moderado"),AND(L22="Alta",P22="Mayor"),AND(L22="Muy Alta",P22="Leve"),AND(L22="Muy Alta",P22="Menor"),AND(L22="Muy Alta",P22="Moderado"),AND(L22="Muy Alta",P22="Mayor")),"Alto",IF(OR(AND(L22="Muy Baja",P22="Catastrófico"),AND(L22="Baja",P22="Catastrófico"),AND(L22="Media",P22="Catastrófico"),AND(L22="Alta",P22="Catastrófico"),AND(L22="Muy Alta",P22="Catastrófico")),"Extremo",""))))</f>
        <v>Moderado</v>
      </c>
      <c r="S22" s="131">
        <v>2</v>
      </c>
      <c r="T22" s="171" t="s">
        <v>304</v>
      </c>
      <c r="U22" s="171" t="s">
        <v>311</v>
      </c>
      <c r="V22" s="133" t="str">
        <f t="shared" si="15"/>
        <v>Probabilidad</v>
      </c>
      <c r="W22" s="134" t="s">
        <v>14</v>
      </c>
      <c r="X22" s="134" t="s">
        <v>9</v>
      </c>
      <c r="Y22" s="135" t="str">
        <f t="shared" ref="Y22" si="25">IF(AND(W22="Preventivo",X22="Automático"),"50%",IF(AND(W22="Preventivo",X22="Manual"),"40%",IF(AND(W22="Detectivo",X22="Automático"),"40%",IF(AND(W22="Detectivo",X22="Manual"),"30%",IF(AND(W22="Correctivo",X22="Automático"),"35%",IF(AND(W22="Correctivo",X22="Manual"),"25%",""))))))</f>
        <v>40%</v>
      </c>
      <c r="Z22" s="134" t="s">
        <v>20</v>
      </c>
      <c r="AA22" s="134" t="s">
        <v>22</v>
      </c>
      <c r="AB22" s="134" t="s">
        <v>118</v>
      </c>
      <c r="AC22" s="163">
        <f>IFERROR(IF(AND(V21="Probabilidad",V22="Probabilidad"),(AE21-(+AE21*Y22)),IF(V22="Probabilidad",(N21-(+N21*Y22)),IF(V22="Impacto",AE21,""))),"")</f>
        <v>0.14399999999999999</v>
      </c>
      <c r="AD22" s="138" t="str">
        <f t="shared" si="18"/>
        <v>Muy Baja</v>
      </c>
      <c r="AE22" s="135">
        <f t="shared" ref="AE22:AE23" si="26">+AC22</f>
        <v>0.14399999999999999</v>
      </c>
      <c r="AF22" s="138" t="str">
        <f t="shared" si="20"/>
        <v>Moderado</v>
      </c>
      <c r="AG22" s="165">
        <f>IFERROR(IF(AND(V21="Impacto",V22="Impacto"),(AG21-(+AG21*Y22)),IF(V22="Impacto",($M$10-(+$M$10*Y22)),IF(V22="Probabilidad",AG21,""))),"")</f>
        <v>0.6</v>
      </c>
      <c r="AH22" s="139" t="str">
        <f t="shared" ref="AH22:AH23" si="27">IFERROR(IF(OR(AND(AD22="Muy Baja",AF22="Leve"),AND(AD22="Muy Baja",AF22="Menor"),AND(AD22="Baja",AF22="Leve")),"Bajo",IF(OR(AND(AD22="Muy baja",AF22="Moderado"),AND(AD22="Baja",AF22="Menor"),AND(AD22="Baja",AF22="Moderado"),AND(AD22="Media",AF22="Leve"),AND(AD22="Media",AF22="Menor"),AND(AD22="Media",AF22="Moderado"),AND(AD22="Alta",AF22="Leve"),AND(AD22="Alta",AF22="Menor")),"Moderado",IF(OR(AND(AD22="Muy Baja",AF22="Mayor"),AND(AD22="Baja",AF22="Mayor"),AND(AD22="Media",AF22="Mayor"),AND(AD22="Alta",AF22="Moderado"),AND(AD22="Alta",AF22="Mayor"),AND(AD22="Muy Alta",AF22="Leve"),AND(AD22="Muy Alta",AF22="Menor"),AND(AD22="Muy Alta",AF22="Moderado"),AND(AD22="Muy Alta",AF22="Mayor")),"Alto",IF(OR(AND(AD22="Muy Baja",AF22="Catastrófico"),AND(AD22="Baja",AF22="Catastrófico"),AND(AD22="Media",AF22="Catastrófico"),AND(AD22="Alta",AF22="Catastrófico"),AND(AD22="Muy Alta",AF22="Catastrófico")),"Extremo","")))),"")</f>
        <v>Moderado</v>
      </c>
      <c r="AI22" s="219"/>
      <c r="AJ22" s="132" t="s">
        <v>308</v>
      </c>
      <c r="AK22" s="132" t="s">
        <v>280</v>
      </c>
      <c r="AL22" s="142">
        <v>44621</v>
      </c>
      <c r="AM22" s="142">
        <v>44677</v>
      </c>
      <c r="AN22" s="145" t="s">
        <v>328</v>
      </c>
      <c r="AO22" s="174" t="s">
        <v>40</v>
      </c>
      <c r="AP22" s="175">
        <v>44784</v>
      </c>
      <c r="AQ22" s="173" t="s">
        <v>340</v>
      </c>
      <c r="AR22" s="170" t="s">
        <v>40</v>
      </c>
      <c r="AS22" s="167">
        <v>44873</v>
      </c>
      <c r="AT22" s="171" t="s">
        <v>355</v>
      </c>
      <c r="AU22" s="414"/>
      <c r="AV22" s="144"/>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row>
    <row r="23" spans="1:73" ht="145.5" customHeight="1" x14ac:dyDescent="0.25">
      <c r="A23" s="215">
        <v>6</v>
      </c>
      <c r="B23" s="215" t="s">
        <v>229</v>
      </c>
      <c r="C23" s="215" t="s">
        <v>237</v>
      </c>
      <c r="D23" s="220" t="s">
        <v>132</v>
      </c>
      <c r="E23" s="220" t="s">
        <v>269</v>
      </c>
      <c r="F23" s="220" t="s">
        <v>281</v>
      </c>
      <c r="G23" s="404" t="s">
        <v>270</v>
      </c>
      <c r="H23" s="403" t="s">
        <v>122</v>
      </c>
      <c r="I23" s="403" t="s">
        <v>244</v>
      </c>
      <c r="J23" s="403" t="s">
        <v>248</v>
      </c>
      <c r="K23" s="143">
        <v>345</v>
      </c>
      <c r="L23" s="146" t="str">
        <f t="shared" si="12"/>
        <v>Media</v>
      </c>
      <c r="M23" s="130">
        <f t="shared" si="13"/>
        <v>0.6</v>
      </c>
      <c r="N23" s="152" t="s">
        <v>151</v>
      </c>
      <c r="O23" s="130" t="str">
        <f>IF(NOT(ISERROR(MATCH(N23,_xlfn.ANCHORARRAY(#REF!),0))),#REF!&amp;"Por favor no seleccionar los criterios de impacto",N23)</f>
        <v xml:space="preserve">     El riesgo afecta la imagen de la entidad con algunos usuarios de relevancia frente al logro de los objetivos</v>
      </c>
      <c r="P23" s="146" t="str">
        <f>IF(OR(O23='Tabla Impacto'!$C$11,O23='Tabla Impacto'!$D$11),"Leve",IF(OR(O23='Tabla Impacto'!$C$12,O23='Tabla Impacto'!$D$12),"Menor",IF(OR(O23='Tabla Impacto'!$C$13,O23='Tabla Impacto'!$D$13),"Moderado",IF(OR(O23='Tabla Impacto'!$C$14,O23='Tabla Impacto'!$D$14),"Mayor",IF(OR(O23='Tabla Impacto'!$C$15,O23='Tabla Impacto'!$D$15),"Catastrófico","")))))</f>
        <v>Moderado</v>
      </c>
      <c r="Q23" s="130">
        <f t="shared" si="14"/>
        <v>0.6</v>
      </c>
      <c r="R23" s="147" t="str">
        <f t="shared" si="24"/>
        <v>Moderado</v>
      </c>
      <c r="S23" s="131">
        <v>1</v>
      </c>
      <c r="T23" s="415" t="s">
        <v>305</v>
      </c>
      <c r="U23" s="171" t="s">
        <v>306</v>
      </c>
      <c r="V23" s="133" t="str">
        <f t="shared" si="15"/>
        <v>Probabilidad</v>
      </c>
      <c r="W23" s="134" t="s">
        <v>14</v>
      </c>
      <c r="X23" s="134" t="s">
        <v>9</v>
      </c>
      <c r="Y23" s="135" t="str">
        <f t="shared" ref="Y23" si="28">IF(AND(W23="Preventivo",X23="Automático"),"50%",IF(AND(W23="Preventivo",X23="Manual"),"40%",IF(AND(W23="Detectivo",X23="Automático"),"40%",IF(AND(W23="Detectivo",X23="Manual"),"30%",IF(AND(W23="Correctivo",X23="Automático"),"35%",IF(AND(W23="Correctivo",X23="Manual"),"25%",""))))))</f>
        <v>40%</v>
      </c>
      <c r="Z23" s="134" t="s">
        <v>19</v>
      </c>
      <c r="AA23" s="134" t="s">
        <v>22</v>
      </c>
      <c r="AB23" s="134" t="s">
        <v>118</v>
      </c>
      <c r="AC23" s="136">
        <f t="shared" ref="AC23" si="29">IFERROR(IF(V23="Probabilidad",(M23-(+M23*Y23)),IF(V23="Impacto",M23,"")),"")</f>
        <v>0.36</v>
      </c>
      <c r="AD23" s="138" t="str">
        <f t="shared" si="18"/>
        <v>Baja</v>
      </c>
      <c r="AE23" s="135">
        <f t="shared" si="26"/>
        <v>0.36</v>
      </c>
      <c r="AF23" s="138" t="str">
        <f t="shared" si="20"/>
        <v>Moderado</v>
      </c>
      <c r="AG23" s="135">
        <f t="shared" ref="AG23" si="30">IFERROR(IF(V23="Impacto",(Q23-(+Q23*Y23)),IF(V23="Probabilidad",Q23,"")),"")</f>
        <v>0.6</v>
      </c>
      <c r="AH23" s="139" t="str">
        <f t="shared" si="27"/>
        <v>Moderado</v>
      </c>
      <c r="AI23" s="134"/>
      <c r="AJ23" s="132" t="s">
        <v>307</v>
      </c>
      <c r="AK23" s="132" t="s">
        <v>280</v>
      </c>
      <c r="AL23" s="142">
        <v>44572</v>
      </c>
      <c r="AM23" s="142">
        <v>44677</v>
      </c>
      <c r="AN23" s="132" t="s">
        <v>318</v>
      </c>
      <c r="AO23" s="174" t="s">
        <v>40</v>
      </c>
      <c r="AP23" s="175">
        <v>44784</v>
      </c>
      <c r="AQ23" s="164" t="s">
        <v>341</v>
      </c>
      <c r="AR23" s="170" t="s">
        <v>40</v>
      </c>
      <c r="AS23" s="167">
        <v>44873</v>
      </c>
      <c r="AT23" s="171" t="s">
        <v>356</v>
      </c>
      <c r="AU23" s="412" t="s">
        <v>39</v>
      </c>
      <c r="AV23" s="144"/>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row>
    <row r="24" spans="1:73" ht="147.75" customHeight="1" x14ac:dyDescent="0.25">
      <c r="A24" s="216"/>
      <c r="B24" s="216"/>
      <c r="C24" s="216"/>
      <c r="D24" s="221"/>
      <c r="E24" s="221"/>
      <c r="F24" s="221"/>
      <c r="G24" s="406"/>
      <c r="H24" s="405"/>
      <c r="I24" s="405"/>
      <c r="J24" s="405"/>
      <c r="K24" s="126">
        <v>345</v>
      </c>
      <c r="L24" s="146" t="str">
        <f t="shared" si="12"/>
        <v>Media</v>
      </c>
      <c r="M24" s="130">
        <f t="shared" si="13"/>
        <v>0.6</v>
      </c>
      <c r="N24" s="152" t="s">
        <v>151</v>
      </c>
      <c r="O24" s="130" t="str">
        <f>IF(NOT(ISERROR(MATCH(N24,_xlfn.ANCHORARRAY(#REF!),0))),#REF!&amp;"Por favor no seleccionar los criterios de impacto",N24)</f>
        <v xml:space="preserve">     El riesgo afecta la imagen de la entidad con algunos usuarios de relevancia frente al logro de los objetivos</v>
      </c>
      <c r="P24" s="146" t="str">
        <f>IF(OR(O24='Tabla Impacto'!$C$11,O24='Tabla Impacto'!$D$11),"Leve",IF(OR(O24='Tabla Impacto'!$C$12,O24='Tabla Impacto'!$D$12),"Menor",IF(OR(O24='Tabla Impacto'!$C$13,O24='Tabla Impacto'!$D$13),"Moderado",IF(OR(O24='Tabla Impacto'!$C$14,O24='Tabla Impacto'!$D$14),"Mayor",IF(OR(O24='Tabla Impacto'!$C$15,O24='Tabla Impacto'!$D$15),"Catastrófico","")))))</f>
        <v>Moderado</v>
      </c>
      <c r="Q24" s="130">
        <f t="shared" si="14"/>
        <v>0.6</v>
      </c>
      <c r="R24" s="147" t="str">
        <f t="shared" ref="R24" si="31">IF(OR(AND(L24="Muy Baja",P24="Leve"),AND(L24="Muy Baja",P24="Menor"),AND(L24="Baja",P24="Leve")),"Bajo",IF(OR(AND(L24="Muy baja",P24="Moderado"),AND(L24="Baja",P24="Menor"),AND(L24="Baja",P24="Moderado"),AND(L24="Media",P24="Leve"),AND(L24="Media",P24="Menor"),AND(L24="Media",P24="Moderado"),AND(L24="Alta",P24="Leve"),AND(L24="Alta",P24="Menor")),"Moderado",IF(OR(AND(L24="Muy Baja",P24="Mayor"),AND(L24="Baja",P24="Mayor"),AND(L24="Media",P24="Mayor"),AND(L24="Alta",P24="Moderado"),AND(L24="Alta",P24="Mayor"),AND(L24="Muy Alta",P24="Leve"),AND(L24="Muy Alta",P24="Menor"),AND(L24="Muy Alta",P24="Moderado"),AND(L24="Muy Alta",P24="Mayor")),"Alto",IF(OR(AND(L24="Muy Baja",P24="Catastrófico"),AND(L24="Baja",P24="Catastrófico"),AND(L24="Media",P24="Catastrófico"),AND(L24="Alta",P24="Catastrófico"),AND(L24="Muy Alta",P24="Catastrófico")),"Extremo",""))))</f>
        <v>Moderado</v>
      </c>
      <c r="S24" s="131">
        <v>2</v>
      </c>
      <c r="T24" s="171" t="s">
        <v>267</v>
      </c>
      <c r="U24" s="171" t="s">
        <v>282</v>
      </c>
      <c r="V24" s="133" t="str">
        <f t="shared" si="15"/>
        <v>Probabilidad</v>
      </c>
      <c r="W24" s="134" t="s">
        <v>14</v>
      </c>
      <c r="X24" s="134" t="s">
        <v>9</v>
      </c>
      <c r="Y24" s="135" t="str">
        <f t="shared" ref="Y24" si="32">IF(AND(W24="Preventivo",X24="Automático"),"50%",IF(AND(W24="Preventivo",X24="Manual"),"40%",IF(AND(W24="Detectivo",X24="Automático"),"40%",IF(AND(W24="Detectivo",X24="Manual"),"30%",IF(AND(W24="Correctivo",X24="Automático"),"35%",IF(AND(W24="Correctivo",X24="Manual"),"25%",""))))))</f>
        <v>40%</v>
      </c>
      <c r="Z24" s="134" t="s">
        <v>19</v>
      </c>
      <c r="AA24" s="134" t="s">
        <v>22</v>
      </c>
      <c r="AB24" s="134" t="s">
        <v>118</v>
      </c>
      <c r="AC24" s="163">
        <f>IFERROR(IF(AND(V23="Probabilidad",V24="Probabilidad"),(AE23-(+AE23*Y24)),IF(V24="Probabilidad",(N23-(+N23*Y24)),IF(V24="Impacto",AE23,""))),"")</f>
        <v>0.216</v>
      </c>
      <c r="AD24" s="138" t="str">
        <f t="shared" si="18"/>
        <v>Baja</v>
      </c>
      <c r="AE24" s="135">
        <f t="shared" ref="AE24:AE25" si="33">+AC24</f>
        <v>0.216</v>
      </c>
      <c r="AF24" s="138" t="str">
        <f t="shared" si="20"/>
        <v>Moderado</v>
      </c>
      <c r="AG24" s="165">
        <f>IFERROR(IF(AND(V23="Impacto",V24="Impacto"),(AG23-(+AG23*Y24)),IF(V24="Impacto",($M$10-(+$M$10*Y24)),IF(V24="Probabilidad",AG23,""))),"")</f>
        <v>0.6</v>
      </c>
      <c r="AH24" s="139" t="str">
        <f t="shared" ref="AH24:AH25" si="34">IFERROR(IF(OR(AND(AD24="Muy Baja",AF24="Leve"),AND(AD24="Muy Baja",AF24="Menor"),AND(AD24="Baja",AF24="Leve")),"Bajo",IF(OR(AND(AD24="Muy baja",AF24="Moderado"),AND(AD24="Baja",AF24="Menor"),AND(AD24="Baja",AF24="Moderado"),AND(AD24="Media",AF24="Leve"),AND(AD24="Media",AF24="Menor"),AND(AD24="Media",AF24="Moderado"),AND(AD24="Alta",AF24="Leve"),AND(AD24="Alta",AF24="Menor")),"Moderado",IF(OR(AND(AD24="Muy Baja",AF24="Mayor"),AND(AD24="Baja",AF24="Mayor"),AND(AD24="Media",AF24="Mayor"),AND(AD24="Alta",AF24="Moderado"),AND(AD24="Alta",AF24="Mayor"),AND(AD24="Muy Alta",AF24="Leve"),AND(AD24="Muy Alta",AF24="Menor"),AND(AD24="Muy Alta",AF24="Moderado"),AND(AD24="Muy Alta",AF24="Mayor")),"Alto",IF(OR(AND(AD24="Muy Baja",AF24="Catastrófico"),AND(AD24="Baja",AF24="Catastrófico"),AND(AD24="Media",AF24="Catastrófico"),AND(AD24="Alta",AF24="Catastrófico"),AND(AD24="Muy Alta",AF24="Catastrófico")),"Extremo","")))),"")</f>
        <v>Moderado</v>
      </c>
      <c r="AI24" s="134"/>
      <c r="AJ24" s="132" t="s">
        <v>278</v>
      </c>
      <c r="AK24" s="132" t="s">
        <v>309</v>
      </c>
      <c r="AL24" s="142">
        <v>44572</v>
      </c>
      <c r="AM24" s="142">
        <v>44677</v>
      </c>
      <c r="AN24" s="132" t="s">
        <v>319</v>
      </c>
      <c r="AO24" s="174" t="s">
        <v>40</v>
      </c>
      <c r="AP24" s="175">
        <v>44784</v>
      </c>
      <c r="AQ24" s="164" t="s">
        <v>342</v>
      </c>
      <c r="AR24" s="170" t="s">
        <v>40</v>
      </c>
      <c r="AS24" s="167">
        <v>44873</v>
      </c>
      <c r="AT24" s="171" t="s">
        <v>357</v>
      </c>
      <c r="AU24" s="413"/>
      <c r="AV24" s="144" t="s">
        <v>345</v>
      </c>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row>
    <row r="25" spans="1:73" ht="94.5" customHeight="1" x14ac:dyDescent="0.25">
      <c r="A25" s="217"/>
      <c r="B25" s="217"/>
      <c r="C25" s="217"/>
      <c r="D25" s="222"/>
      <c r="E25" s="222"/>
      <c r="F25" s="222"/>
      <c r="G25" s="408"/>
      <c r="H25" s="407"/>
      <c r="I25" s="407"/>
      <c r="J25" s="407"/>
      <c r="K25" s="143">
        <v>345</v>
      </c>
      <c r="L25" s="146" t="str">
        <f t="shared" ref="L25" si="35">IF(K25&lt;=0,"",IF(K25&lt;=2,"Muy Baja",IF(K25&lt;=24,"Baja",IF(K25&lt;=500,"Media",IF(K25&lt;=5000,"Alta","Muy Alta")))))</f>
        <v>Media</v>
      </c>
      <c r="M25" s="130">
        <f t="shared" ref="M25" si="36">IF(L25="","",IF(L25="Muy Baja",0.2,IF(L25="Baja",0.4,IF(L25="Media",0.6,IF(L25="Alta",0.8,IF(L25="Muy Alta",1,))))))</f>
        <v>0.6</v>
      </c>
      <c r="N25" s="152" t="s">
        <v>151</v>
      </c>
      <c r="O25" s="130" t="str">
        <f>IF(NOT(ISERROR(MATCH(N25,_xlfn.ANCHORARRAY(#REF!),0))),#REF!&amp;"Por favor no seleccionar los criterios de impacto",N25)</f>
        <v xml:space="preserve">     El riesgo afecta la imagen de la entidad con algunos usuarios de relevancia frente al logro de los objetivos</v>
      </c>
      <c r="P25" s="146" t="str">
        <f>IF(OR(O25='Tabla Impacto'!$C$11,O25='Tabla Impacto'!$D$11),"Leve",IF(OR(O25='Tabla Impacto'!$C$12,O25='Tabla Impacto'!$D$12),"Menor",IF(OR(O25='Tabla Impacto'!$C$13,O25='Tabla Impacto'!$D$13),"Moderado",IF(OR(O25='Tabla Impacto'!$C$14,O25='Tabla Impacto'!$D$14),"Mayor",IF(OR(O25='Tabla Impacto'!$C$15,O25='Tabla Impacto'!$D$15),"Catastrófico","")))))</f>
        <v>Moderado</v>
      </c>
      <c r="Q25" s="130">
        <f t="shared" ref="Q25" si="37">IF(P25="","",IF(P25="Leve",0.2,IF(P25="Menor",0.4,IF(P25="Moderado",0.6,IF(P25="Mayor",0.8,IF(P25="Catastrófico",1,))))))</f>
        <v>0.6</v>
      </c>
      <c r="R25" s="147" t="str">
        <f t="shared" ref="R25" si="38">IF(OR(AND(L25="Muy Baja",P25="Leve"),AND(L25="Muy Baja",P25="Menor"),AND(L25="Baja",P25="Leve")),"Bajo",IF(OR(AND(L25="Muy baja",P25="Moderado"),AND(L25="Baja",P25="Menor"),AND(L25="Baja",P25="Moderado"),AND(L25="Media",P25="Leve"),AND(L25="Media",P25="Menor"),AND(L25="Media",P25="Moderado"),AND(L25="Alta",P25="Leve"),AND(L25="Alta",P25="Menor")),"Moderado",IF(OR(AND(L25="Muy Baja",P25="Mayor"),AND(L25="Baja",P25="Mayor"),AND(L25="Media",P25="Mayor"),AND(L25="Alta",P25="Moderado"),AND(L25="Alta",P25="Mayor"),AND(L25="Muy Alta",P25="Leve"),AND(L25="Muy Alta",P25="Menor"),AND(L25="Muy Alta",P25="Moderado"),AND(L25="Muy Alta",P25="Mayor")),"Alto",IF(OR(AND(L25="Muy Baja",P25="Catastrófico"),AND(L25="Baja",P25="Catastrófico"),AND(L25="Media",P25="Catastrófico"),AND(L25="Alta",P25="Catastrófico"),AND(L25="Muy Alta",P25="Catastrófico")),"Extremo",""))))</f>
        <v>Moderado</v>
      </c>
      <c r="S25" s="131">
        <v>3</v>
      </c>
      <c r="T25" s="171" t="s">
        <v>268</v>
      </c>
      <c r="U25" s="171" t="s">
        <v>310</v>
      </c>
      <c r="V25" s="133" t="str">
        <f t="shared" si="15"/>
        <v>Probabilidad</v>
      </c>
      <c r="W25" s="134" t="s">
        <v>14</v>
      </c>
      <c r="X25" s="134" t="s">
        <v>9</v>
      </c>
      <c r="Y25" s="135" t="str">
        <f t="shared" ref="Y25" si="39">IF(AND(W25="Preventivo",X25="Automático"),"50%",IF(AND(W25="Preventivo",X25="Manual"),"40%",IF(AND(W25="Detectivo",X25="Automático"),"40%",IF(AND(W25="Detectivo",X25="Manual"),"30%",IF(AND(W25="Correctivo",X25="Automático"),"35%",IF(AND(W25="Correctivo",X25="Manual"),"25%",""))))))</f>
        <v>40%</v>
      </c>
      <c r="Z25" s="134" t="s">
        <v>19</v>
      </c>
      <c r="AA25" s="134" t="s">
        <v>22</v>
      </c>
      <c r="AB25" s="134" t="s">
        <v>118</v>
      </c>
      <c r="AC25" s="163">
        <f>IFERROR(IF(AND(V24="Probabilidad",V25="Probabilidad"),(AE24-(+AE24*Y25)),IF(V25="Probabilidad",(N24-(+N24*Y25)),IF(V25="Impacto",AE24,""))),"")</f>
        <v>0.12959999999999999</v>
      </c>
      <c r="AD25" s="138" t="str">
        <f t="shared" si="18"/>
        <v>Muy Baja</v>
      </c>
      <c r="AE25" s="135">
        <f t="shared" si="33"/>
        <v>0.12959999999999999</v>
      </c>
      <c r="AF25" s="138" t="str">
        <f t="shared" si="20"/>
        <v>Moderado</v>
      </c>
      <c r="AG25" s="135">
        <f t="shared" ref="AG25" si="40">IFERROR(IF(V25="Impacto",(Q25-(+Q25*Y25)),IF(V25="Probabilidad",Q25,"")),"")</f>
        <v>0.6</v>
      </c>
      <c r="AH25" s="139" t="str">
        <f t="shared" si="34"/>
        <v>Moderado</v>
      </c>
      <c r="AI25" s="134"/>
      <c r="AJ25" s="132" t="s">
        <v>344</v>
      </c>
      <c r="AK25" s="169" t="s">
        <v>257</v>
      </c>
      <c r="AL25" s="142">
        <v>44682</v>
      </c>
      <c r="AM25" s="142">
        <v>44677</v>
      </c>
      <c r="AN25" s="168" t="s">
        <v>317</v>
      </c>
      <c r="AO25" s="174" t="s">
        <v>40</v>
      </c>
      <c r="AP25" s="175">
        <v>44784</v>
      </c>
      <c r="AQ25" s="164" t="s">
        <v>343</v>
      </c>
      <c r="AR25" s="170" t="s">
        <v>40</v>
      </c>
      <c r="AS25" s="167">
        <v>44873</v>
      </c>
      <c r="AT25" s="171" t="s">
        <v>358</v>
      </c>
      <c r="AU25" s="414"/>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row>
    <row r="26" spans="1:73" ht="49.5" customHeight="1" x14ac:dyDescent="0.25">
      <c r="A26" s="154"/>
      <c r="B26" s="155"/>
      <c r="C26" s="155"/>
      <c r="D26" s="241" t="s">
        <v>329</v>
      </c>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3"/>
    </row>
    <row r="28" spans="1:73" x14ac:dyDescent="0.25">
      <c r="A28" s="156"/>
      <c r="B28" s="157"/>
      <c r="C28" s="157"/>
      <c r="D28" s="157"/>
      <c r="E28" s="157"/>
      <c r="F28" s="157"/>
      <c r="G28" s="157"/>
      <c r="L28" s="118"/>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row>
    <row r="29" spans="1:73" x14ac:dyDescent="0.25">
      <c r="A29" s="244" t="s">
        <v>330</v>
      </c>
      <c r="B29" s="244"/>
      <c r="C29" s="244"/>
      <c r="D29" s="244"/>
      <c r="E29" s="244"/>
      <c r="F29" s="244"/>
      <c r="G29" s="244"/>
      <c r="K29" s="249" t="s">
        <v>359</v>
      </c>
      <c r="L29" s="250"/>
      <c r="M29" s="250"/>
      <c r="N29" s="251"/>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row>
    <row r="30" spans="1:73" ht="16.5" thickBot="1" x14ac:dyDescent="0.3">
      <c r="L30" s="119" t="str">
        <f>+IFERROR(VLOOKUP(H30,$H$185:$L$189,3,FALSE)*VLOOKUP(K30,$K$185:$L$189,3,FALSE),"")</f>
        <v/>
      </c>
      <c r="W30" s="158"/>
      <c r="Y30" s="158"/>
      <c r="Z30" s="158"/>
      <c r="AA30" s="158"/>
      <c r="AB30" s="158"/>
      <c r="AC30" s="158"/>
      <c r="AD30" s="158"/>
      <c r="AG30" s="158"/>
      <c r="AL30" s="158"/>
      <c r="AN30" s="158"/>
    </row>
    <row r="31" spans="1:73" ht="17.45" customHeight="1" thickTop="1" thickBot="1" x14ac:dyDescent="0.3">
      <c r="A31" s="247" t="s">
        <v>215</v>
      </c>
      <c r="B31" s="247"/>
      <c r="C31" s="247"/>
      <c r="D31" s="247"/>
      <c r="E31" s="247"/>
      <c r="F31" s="247"/>
      <c r="G31" s="159" t="s">
        <v>216</v>
      </c>
      <c r="H31" s="247" t="s">
        <v>217</v>
      </c>
      <c r="I31" s="247"/>
      <c r="J31" s="247"/>
      <c r="K31" s="247"/>
      <c r="L31" s="247"/>
      <c r="M31" s="247"/>
      <c r="N31" s="247"/>
      <c r="O31" s="160"/>
      <c r="P31" s="248" t="s">
        <v>218</v>
      </c>
      <c r="Q31" s="248"/>
      <c r="R31" s="248"/>
      <c r="S31" s="247" t="s">
        <v>219</v>
      </c>
      <c r="T31" s="247"/>
      <c r="U31" s="247"/>
      <c r="V31" s="247"/>
      <c r="W31" s="248">
        <v>1</v>
      </c>
      <c r="X31" s="248"/>
      <c r="Y31" s="248"/>
      <c r="Z31" s="248"/>
      <c r="AA31" s="161"/>
      <c r="AB31" s="161"/>
      <c r="AC31" s="161"/>
      <c r="AD31" s="161"/>
      <c r="AE31" s="161"/>
      <c r="AF31" s="161"/>
      <c r="AG31" s="161"/>
      <c r="AH31" s="161"/>
      <c r="AI31" s="161"/>
      <c r="AJ31" s="161"/>
      <c r="AK31" s="161"/>
      <c r="AL31" s="161"/>
      <c r="AM31" s="161"/>
      <c r="AN31" s="161"/>
      <c r="AO31" s="161"/>
      <c r="AP31" s="161"/>
      <c r="AQ31" s="161"/>
    </row>
    <row r="32" spans="1:73" ht="16.5" thickTop="1" x14ac:dyDescent="0.25"/>
  </sheetData>
  <dataConsolidate/>
  <mergeCells count="114">
    <mergeCell ref="AU13:AU16"/>
    <mergeCell ref="AU17:AU18"/>
    <mergeCell ref="AU21:AU22"/>
    <mergeCell ref="AU23:AU25"/>
    <mergeCell ref="S31:V31"/>
    <mergeCell ref="W31:Z31"/>
    <mergeCell ref="A31:F31"/>
    <mergeCell ref="K29:N29"/>
    <mergeCell ref="H31:N31"/>
    <mergeCell ref="P31:R31"/>
    <mergeCell ref="AJ9:AU9"/>
    <mergeCell ref="AR10:AR11"/>
    <mergeCell ref="AS10:AS11"/>
    <mergeCell ref="AT10:AT11"/>
    <mergeCell ref="A9:K9"/>
    <mergeCell ref="L9:R9"/>
    <mergeCell ref="S9:AB9"/>
    <mergeCell ref="S10:S11"/>
    <mergeCell ref="T10:T11"/>
    <mergeCell ref="B10:B11"/>
    <mergeCell ref="V10:V11"/>
    <mergeCell ref="AE10:AE11"/>
    <mergeCell ref="K10:K11"/>
    <mergeCell ref="L10:L11"/>
    <mergeCell ref="M10:M11"/>
    <mergeCell ref="H23:H25"/>
    <mergeCell ref="I23:I25"/>
    <mergeCell ref="J23:J25"/>
    <mergeCell ref="E1:AS4"/>
    <mergeCell ref="AQ10:AQ11"/>
    <mergeCell ref="AP10:AP11"/>
    <mergeCell ref="D26:AO26"/>
    <mergeCell ref="A29:G29"/>
    <mergeCell ref="G10:G11"/>
    <mergeCell ref="F10:F11"/>
    <mergeCell ref="E10:E11"/>
    <mergeCell ref="D10:D11"/>
    <mergeCell ref="R10:R11"/>
    <mergeCell ref="N10:N11"/>
    <mergeCell ref="O10:O11"/>
    <mergeCell ref="AO10:AO11"/>
    <mergeCell ref="AN10:AN11"/>
    <mergeCell ref="AM10:AM11"/>
    <mergeCell ref="AL10:AL11"/>
    <mergeCell ref="AK10:AK11"/>
    <mergeCell ref="C10:C11"/>
    <mergeCell ref="A6:B6"/>
    <mergeCell ref="A7:B7"/>
    <mergeCell ref="A8:B8"/>
    <mergeCell ref="H21:H22"/>
    <mergeCell ref="I21:I22"/>
    <mergeCell ref="J21:J22"/>
    <mergeCell ref="H10:H11"/>
    <mergeCell ref="I13:I16"/>
    <mergeCell ref="J13:J16"/>
    <mergeCell ref="H17:H18"/>
    <mergeCell ref="D13:D15"/>
    <mergeCell ref="D17:D18"/>
    <mergeCell ref="E17:E18"/>
    <mergeCell ref="F17:F18"/>
    <mergeCell ref="G17:G18"/>
    <mergeCell ref="E13:E16"/>
    <mergeCell ref="F13:F16"/>
    <mergeCell ref="H13:H16"/>
    <mergeCell ref="I17:I18"/>
    <mergeCell ref="J17:J18"/>
    <mergeCell ref="AT1:AU1"/>
    <mergeCell ref="AT2:AU2"/>
    <mergeCell ref="AT3:AU3"/>
    <mergeCell ref="AT4:AU4"/>
    <mergeCell ref="AJ10:AJ11"/>
    <mergeCell ref="C8:AU8"/>
    <mergeCell ref="C7:AU7"/>
    <mergeCell ref="C6:AU6"/>
    <mergeCell ref="I10:I11"/>
    <mergeCell ref="J10:J11"/>
    <mergeCell ref="AI10:AI11"/>
    <mergeCell ref="AH10:AH11"/>
    <mergeCell ref="AG10:AG11"/>
    <mergeCell ref="AC10:AC11"/>
    <mergeCell ref="U10:U11"/>
    <mergeCell ref="AU10:AU11"/>
    <mergeCell ref="A1:D4"/>
    <mergeCell ref="AF10:AF11"/>
    <mergeCell ref="AD10:AD11"/>
    <mergeCell ref="P10:P11"/>
    <mergeCell ref="Q10:Q11"/>
    <mergeCell ref="W10:AB10"/>
    <mergeCell ref="AC9:AI9"/>
    <mergeCell ref="A10:A11"/>
    <mergeCell ref="A13:A16"/>
    <mergeCell ref="G13:G16"/>
    <mergeCell ref="A17:A18"/>
    <mergeCell ref="B17:B18"/>
    <mergeCell ref="C17:C18"/>
    <mergeCell ref="AI21:AI22"/>
    <mergeCell ref="F23:F25"/>
    <mergeCell ref="G23:G25"/>
    <mergeCell ref="A21:A22"/>
    <mergeCell ref="B21:B22"/>
    <mergeCell ref="C21:C22"/>
    <mergeCell ref="D21:D22"/>
    <mergeCell ref="E21:E22"/>
    <mergeCell ref="F21:F22"/>
    <mergeCell ref="G21:G22"/>
    <mergeCell ref="A23:A25"/>
    <mergeCell ref="B23:B25"/>
    <mergeCell ref="C23:C25"/>
    <mergeCell ref="D23:D25"/>
    <mergeCell ref="E23:E25"/>
    <mergeCell ref="C13:C15"/>
    <mergeCell ref="B13:B15"/>
    <mergeCell ref="AI13:AI16"/>
    <mergeCell ref="AI17:AI18"/>
  </mergeCells>
  <conditionalFormatting sqref="L13:L15">
    <cfRule type="cellIs" dxfId="317" priority="900" operator="equal">
      <formula>"Muy Alta"</formula>
    </cfRule>
    <cfRule type="cellIs" dxfId="316" priority="901" operator="equal">
      <formula>"Alta"</formula>
    </cfRule>
    <cfRule type="cellIs" dxfId="315" priority="902" operator="equal">
      <formula>"Media"</formula>
    </cfRule>
    <cfRule type="cellIs" dxfId="314" priority="903" operator="equal">
      <formula>"Baja"</formula>
    </cfRule>
    <cfRule type="cellIs" dxfId="313" priority="904" operator="equal">
      <formula>"Muy Baja"</formula>
    </cfRule>
  </conditionalFormatting>
  <conditionalFormatting sqref="P13:P14">
    <cfRule type="cellIs" dxfId="312" priority="895" operator="equal">
      <formula>"Catastrófico"</formula>
    </cfRule>
    <cfRule type="cellIs" dxfId="311" priority="896" operator="equal">
      <formula>"Mayor"</formula>
    </cfRule>
    <cfRule type="cellIs" dxfId="310" priority="897" operator="equal">
      <formula>"Moderado"</formula>
    </cfRule>
    <cfRule type="cellIs" dxfId="309" priority="898" operator="equal">
      <formula>"Menor"</formula>
    </cfRule>
    <cfRule type="cellIs" dxfId="308" priority="899" operator="equal">
      <formula>"Leve"</formula>
    </cfRule>
  </conditionalFormatting>
  <conditionalFormatting sqref="R13:R14">
    <cfRule type="cellIs" dxfId="307" priority="821" operator="equal">
      <formula>"Extremo"</formula>
    </cfRule>
    <cfRule type="cellIs" dxfId="306" priority="822" operator="equal">
      <formula>"Alto"</formula>
    </cfRule>
    <cfRule type="cellIs" dxfId="305" priority="823" operator="equal">
      <formula>"Moderado"</formula>
    </cfRule>
    <cfRule type="cellIs" dxfId="304" priority="824" operator="equal">
      <formula>"Bajo"</formula>
    </cfRule>
  </conditionalFormatting>
  <conditionalFormatting sqref="AD13">
    <cfRule type="cellIs" dxfId="303" priority="816" operator="equal">
      <formula>"Muy Alta"</formula>
    </cfRule>
    <cfRule type="cellIs" dxfId="302" priority="817" operator="equal">
      <formula>"Alta"</formula>
    </cfRule>
    <cfRule type="cellIs" dxfId="301" priority="818" operator="equal">
      <formula>"Media"</formula>
    </cfRule>
    <cfRule type="cellIs" dxfId="300" priority="819" operator="equal">
      <formula>"Baja"</formula>
    </cfRule>
    <cfRule type="cellIs" dxfId="299" priority="820" operator="equal">
      <formula>"Muy Baja"</formula>
    </cfRule>
  </conditionalFormatting>
  <conditionalFormatting sqref="AF13">
    <cfRule type="cellIs" dxfId="298" priority="811" operator="equal">
      <formula>"Catastrófico"</formula>
    </cfRule>
    <cfRule type="cellIs" dxfId="297" priority="812" operator="equal">
      <formula>"Mayor"</formula>
    </cfRule>
    <cfRule type="cellIs" dxfId="296" priority="813" operator="equal">
      <formula>"Moderado"</formula>
    </cfRule>
    <cfRule type="cellIs" dxfId="295" priority="814" operator="equal">
      <formula>"Menor"</formula>
    </cfRule>
    <cfRule type="cellIs" dxfId="294" priority="815" operator="equal">
      <formula>"Leve"</formula>
    </cfRule>
  </conditionalFormatting>
  <conditionalFormatting sqref="AH13">
    <cfRule type="cellIs" dxfId="293" priority="807" operator="equal">
      <formula>"Extremo"</formula>
    </cfRule>
    <cfRule type="cellIs" dxfId="292" priority="808" operator="equal">
      <formula>"Alto"</formula>
    </cfRule>
    <cfRule type="cellIs" dxfId="291" priority="809" operator="equal">
      <formula>"Moderado"</formula>
    </cfRule>
    <cfRule type="cellIs" dxfId="290" priority="810" operator="equal">
      <formula>"Bajo"</formula>
    </cfRule>
  </conditionalFormatting>
  <conditionalFormatting sqref="O13:O14">
    <cfRule type="containsText" dxfId="289" priority="582" operator="containsText" text="❌">
      <formula>NOT(ISERROR(SEARCH("❌",O13)))</formula>
    </cfRule>
  </conditionalFormatting>
  <conditionalFormatting sqref="AE28:AE30">
    <cfRule type="cellIs" dxfId="288" priority="536" stopIfTrue="1" operator="equal">
      <formula>#REF!</formula>
    </cfRule>
    <cfRule type="cellIs" dxfId="287" priority="537" operator="equal">
      <formula>#REF!</formula>
    </cfRule>
    <cfRule type="cellIs" dxfId="286" priority="538" operator="equal">
      <formula>#REF!</formula>
    </cfRule>
  </conditionalFormatting>
  <conditionalFormatting sqref="AF28:AF30">
    <cfRule type="cellIs" dxfId="285" priority="539" stopIfTrue="1" operator="equal">
      <formula>#REF!</formula>
    </cfRule>
    <cfRule type="cellIs" dxfId="284" priority="540" stopIfTrue="1" operator="equal">
      <formula>#REF!</formula>
    </cfRule>
    <cfRule type="cellIs" dxfId="283" priority="541" stopIfTrue="1" operator="equal">
      <formula>#REF!</formula>
    </cfRule>
  </conditionalFormatting>
  <conditionalFormatting sqref="AD14">
    <cfRule type="cellIs" dxfId="282" priority="497" operator="equal">
      <formula>"Muy Alta"</formula>
    </cfRule>
    <cfRule type="cellIs" dxfId="281" priority="498" operator="equal">
      <formula>"Alta"</formula>
    </cfRule>
    <cfRule type="cellIs" dxfId="280" priority="499" operator="equal">
      <formula>"Media"</formula>
    </cfRule>
    <cfRule type="cellIs" dxfId="279" priority="500" operator="equal">
      <formula>"Baja"</formula>
    </cfRule>
    <cfRule type="cellIs" dxfId="278" priority="501" operator="equal">
      <formula>"Muy Baja"</formula>
    </cfRule>
  </conditionalFormatting>
  <conditionalFormatting sqref="AF14">
    <cfRule type="cellIs" dxfId="277" priority="492" operator="equal">
      <formula>"Catastrófico"</formula>
    </cfRule>
    <cfRule type="cellIs" dxfId="276" priority="493" operator="equal">
      <formula>"Mayor"</formula>
    </cfRule>
    <cfRule type="cellIs" dxfId="275" priority="494" operator="equal">
      <formula>"Moderado"</formula>
    </cfRule>
    <cfRule type="cellIs" dxfId="274" priority="495" operator="equal">
      <formula>"Menor"</formula>
    </cfRule>
    <cfRule type="cellIs" dxfId="273" priority="496" operator="equal">
      <formula>"Leve"</formula>
    </cfRule>
  </conditionalFormatting>
  <conditionalFormatting sqref="AH14">
    <cfRule type="cellIs" dxfId="272" priority="488" operator="equal">
      <formula>"Extremo"</formula>
    </cfRule>
    <cfRule type="cellIs" dxfId="271" priority="489" operator="equal">
      <formula>"Alto"</formula>
    </cfRule>
    <cfRule type="cellIs" dxfId="270" priority="490" operator="equal">
      <formula>"Moderado"</formula>
    </cfRule>
    <cfRule type="cellIs" dxfId="269" priority="491" operator="equal">
      <formula>"Bajo"</formula>
    </cfRule>
  </conditionalFormatting>
  <conditionalFormatting sqref="L18">
    <cfRule type="cellIs" dxfId="268" priority="483" operator="equal">
      <formula>"Muy Alta"</formula>
    </cfRule>
    <cfRule type="cellIs" dxfId="267" priority="484" operator="equal">
      <formula>"Alta"</formula>
    </cfRule>
    <cfRule type="cellIs" dxfId="266" priority="485" operator="equal">
      <formula>"Media"</formula>
    </cfRule>
    <cfRule type="cellIs" dxfId="265" priority="486" operator="equal">
      <formula>"Baja"</formula>
    </cfRule>
    <cfRule type="cellIs" dxfId="264" priority="487" operator="equal">
      <formula>"Muy Baja"</formula>
    </cfRule>
  </conditionalFormatting>
  <conditionalFormatting sqref="P18">
    <cfRule type="cellIs" dxfId="263" priority="478" operator="equal">
      <formula>"Catastrófico"</formula>
    </cfRule>
    <cfRule type="cellIs" dxfId="262" priority="479" operator="equal">
      <formula>"Mayor"</formula>
    </cfRule>
    <cfRule type="cellIs" dxfId="261" priority="480" operator="equal">
      <formula>"Moderado"</formula>
    </cfRule>
    <cfRule type="cellIs" dxfId="260" priority="481" operator="equal">
      <formula>"Menor"</formula>
    </cfRule>
    <cfRule type="cellIs" dxfId="259" priority="482" operator="equal">
      <formula>"Leve"</formula>
    </cfRule>
  </conditionalFormatting>
  <conditionalFormatting sqref="R18">
    <cfRule type="cellIs" dxfId="258" priority="474" operator="equal">
      <formula>"Extremo"</formula>
    </cfRule>
    <cfRule type="cellIs" dxfId="257" priority="475" operator="equal">
      <formula>"Alto"</formula>
    </cfRule>
    <cfRule type="cellIs" dxfId="256" priority="476" operator="equal">
      <formula>"Moderado"</formula>
    </cfRule>
    <cfRule type="cellIs" dxfId="255" priority="477" operator="equal">
      <formula>"Bajo"</formula>
    </cfRule>
  </conditionalFormatting>
  <conditionalFormatting sqref="AD18">
    <cfRule type="cellIs" dxfId="254" priority="469" operator="equal">
      <formula>"Muy Alta"</formula>
    </cfRule>
    <cfRule type="cellIs" dxfId="253" priority="470" operator="equal">
      <formula>"Alta"</formula>
    </cfRule>
    <cfRule type="cellIs" dxfId="252" priority="471" operator="equal">
      <formula>"Media"</formula>
    </cfRule>
    <cfRule type="cellIs" dxfId="251" priority="472" operator="equal">
      <formula>"Baja"</formula>
    </cfRule>
    <cfRule type="cellIs" dxfId="250" priority="473" operator="equal">
      <formula>"Muy Baja"</formula>
    </cfRule>
  </conditionalFormatting>
  <conditionalFormatting sqref="AF18">
    <cfRule type="cellIs" dxfId="249" priority="464" operator="equal">
      <formula>"Catastrófico"</formula>
    </cfRule>
    <cfRule type="cellIs" dxfId="248" priority="465" operator="equal">
      <formula>"Mayor"</formula>
    </cfRule>
    <cfRule type="cellIs" dxfId="247" priority="466" operator="equal">
      <formula>"Moderado"</formula>
    </cfRule>
    <cfRule type="cellIs" dxfId="246" priority="467" operator="equal">
      <formula>"Menor"</formula>
    </cfRule>
    <cfRule type="cellIs" dxfId="245" priority="468" operator="equal">
      <formula>"Leve"</formula>
    </cfRule>
  </conditionalFormatting>
  <conditionalFormatting sqref="AH18">
    <cfRule type="cellIs" dxfId="244" priority="460" operator="equal">
      <formula>"Extremo"</formula>
    </cfRule>
    <cfRule type="cellIs" dxfId="243" priority="461" operator="equal">
      <formula>"Alto"</formula>
    </cfRule>
    <cfRule type="cellIs" dxfId="242" priority="462" operator="equal">
      <formula>"Moderado"</formula>
    </cfRule>
    <cfRule type="cellIs" dxfId="241" priority="463" operator="equal">
      <formula>"Bajo"</formula>
    </cfRule>
  </conditionalFormatting>
  <conditionalFormatting sqref="O18">
    <cfRule type="containsText" dxfId="240" priority="459" operator="containsText" text="❌">
      <formula>NOT(ISERROR(SEARCH("❌",O18)))</formula>
    </cfRule>
  </conditionalFormatting>
  <conditionalFormatting sqref="L22:L23">
    <cfRule type="cellIs" dxfId="239" priority="454" operator="equal">
      <formula>"Muy Alta"</formula>
    </cfRule>
    <cfRule type="cellIs" dxfId="238" priority="455" operator="equal">
      <formula>"Alta"</formula>
    </cfRule>
    <cfRule type="cellIs" dxfId="237" priority="456" operator="equal">
      <formula>"Media"</formula>
    </cfRule>
    <cfRule type="cellIs" dxfId="236" priority="457" operator="equal">
      <formula>"Baja"</formula>
    </cfRule>
    <cfRule type="cellIs" dxfId="235" priority="458" operator="equal">
      <formula>"Muy Baja"</formula>
    </cfRule>
  </conditionalFormatting>
  <conditionalFormatting sqref="P22:P23">
    <cfRule type="cellIs" dxfId="234" priority="449" operator="equal">
      <formula>"Catastrófico"</formula>
    </cfRule>
    <cfRule type="cellIs" dxfId="233" priority="450" operator="equal">
      <formula>"Mayor"</formula>
    </cfRule>
    <cfRule type="cellIs" dxfId="232" priority="451" operator="equal">
      <formula>"Moderado"</formula>
    </cfRule>
    <cfRule type="cellIs" dxfId="231" priority="452" operator="equal">
      <formula>"Menor"</formula>
    </cfRule>
    <cfRule type="cellIs" dxfId="230" priority="453" operator="equal">
      <formula>"Leve"</formula>
    </cfRule>
  </conditionalFormatting>
  <conditionalFormatting sqref="R22:R23">
    <cfRule type="cellIs" dxfId="229" priority="445" operator="equal">
      <formula>"Extremo"</formula>
    </cfRule>
    <cfRule type="cellIs" dxfId="228" priority="446" operator="equal">
      <formula>"Alto"</formula>
    </cfRule>
    <cfRule type="cellIs" dxfId="227" priority="447" operator="equal">
      <formula>"Moderado"</formula>
    </cfRule>
    <cfRule type="cellIs" dxfId="226" priority="448" operator="equal">
      <formula>"Bajo"</formula>
    </cfRule>
  </conditionalFormatting>
  <conditionalFormatting sqref="AD22:AD23">
    <cfRule type="cellIs" dxfId="225" priority="440" operator="equal">
      <formula>"Muy Alta"</formula>
    </cfRule>
    <cfRule type="cellIs" dxfId="224" priority="441" operator="equal">
      <formula>"Alta"</formula>
    </cfRule>
    <cfRule type="cellIs" dxfId="223" priority="442" operator="equal">
      <formula>"Media"</formula>
    </cfRule>
    <cfRule type="cellIs" dxfId="222" priority="443" operator="equal">
      <formula>"Baja"</formula>
    </cfRule>
    <cfRule type="cellIs" dxfId="221" priority="444" operator="equal">
      <formula>"Muy Baja"</formula>
    </cfRule>
  </conditionalFormatting>
  <conditionalFormatting sqref="AF22:AF23">
    <cfRule type="cellIs" dxfId="220" priority="435" operator="equal">
      <formula>"Catastrófico"</formula>
    </cfRule>
    <cfRule type="cellIs" dxfId="219" priority="436" operator="equal">
      <formula>"Mayor"</formula>
    </cfRule>
    <cfRule type="cellIs" dxfId="218" priority="437" operator="equal">
      <formula>"Moderado"</formula>
    </cfRule>
    <cfRule type="cellIs" dxfId="217" priority="438" operator="equal">
      <formula>"Menor"</formula>
    </cfRule>
    <cfRule type="cellIs" dxfId="216" priority="439" operator="equal">
      <formula>"Leve"</formula>
    </cfRule>
  </conditionalFormatting>
  <conditionalFormatting sqref="AH22:AH23">
    <cfRule type="cellIs" dxfId="215" priority="431" operator="equal">
      <formula>"Extremo"</formula>
    </cfRule>
    <cfRule type="cellIs" dxfId="214" priority="432" operator="equal">
      <formula>"Alto"</formula>
    </cfRule>
    <cfRule type="cellIs" dxfId="213" priority="433" operator="equal">
      <formula>"Moderado"</formula>
    </cfRule>
    <cfRule type="cellIs" dxfId="212" priority="434" operator="equal">
      <formula>"Bajo"</formula>
    </cfRule>
  </conditionalFormatting>
  <conditionalFormatting sqref="O22:O23">
    <cfRule type="containsText" dxfId="211" priority="430" operator="containsText" text="❌">
      <formula>NOT(ISERROR(SEARCH("❌",O22)))</formula>
    </cfRule>
  </conditionalFormatting>
  <conditionalFormatting sqref="L19:L20">
    <cfRule type="cellIs" dxfId="210" priority="425" operator="equal">
      <formula>"Muy Alta"</formula>
    </cfRule>
    <cfRule type="cellIs" dxfId="209" priority="426" operator="equal">
      <formula>"Alta"</formula>
    </cfRule>
    <cfRule type="cellIs" dxfId="208" priority="427" operator="equal">
      <formula>"Media"</formula>
    </cfRule>
    <cfRule type="cellIs" dxfId="207" priority="428" operator="equal">
      <formula>"Baja"</formula>
    </cfRule>
    <cfRule type="cellIs" dxfId="206" priority="429" operator="equal">
      <formula>"Muy Baja"</formula>
    </cfRule>
  </conditionalFormatting>
  <conditionalFormatting sqref="P20">
    <cfRule type="cellIs" dxfId="205" priority="420" operator="equal">
      <formula>"Catastrófico"</formula>
    </cfRule>
    <cfRule type="cellIs" dxfId="204" priority="421" operator="equal">
      <formula>"Mayor"</formula>
    </cfRule>
    <cfRule type="cellIs" dxfId="203" priority="422" operator="equal">
      <formula>"Moderado"</formula>
    </cfRule>
    <cfRule type="cellIs" dxfId="202" priority="423" operator="equal">
      <formula>"Menor"</formula>
    </cfRule>
    <cfRule type="cellIs" dxfId="201" priority="424" operator="equal">
      <formula>"Leve"</formula>
    </cfRule>
  </conditionalFormatting>
  <conditionalFormatting sqref="R20">
    <cfRule type="cellIs" dxfId="200" priority="416" operator="equal">
      <formula>"Extremo"</formula>
    </cfRule>
    <cfRule type="cellIs" dxfId="199" priority="417" operator="equal">
      <formula>"Alto"</formula>
    </cfRule>
    <cfRule type="cellIs" dxfId="198" priority="418" operator="equal">
      <formula>"Moderado"</formula>
    </cfRule>
    <cfRule type="cellIs" dxfId="197" priority="419" operator="equal">
      <formula>"Bajo"</formula>
    </cfRule>
  </conditionalFormatting>
  <conditionalFormatting sqref="AD19:AD20">
    <cfRule type="cellIs" dxfId="196" priority="411" operator="equal">
      <formula>"Muy Alta"</formula>
    </cfRule>
    <cfRule type="cellIs" dxfId="195" priority="412" operator="equal">
      <formula>"Alta"</formula>
    </cfRule>
    <cfRule type="cellIs" dxfId="194" priority="413" operator="equal">
      <formula>"Media"</formula>
    </cfRule>
    <cfRule type="cellIs" dxfId="193" priority="414" operator="equal">
      <formula>"Baja"</formula>
    </cfRule>
    <cfRule type="cellIs" dxfId="192" priority="415" operator="equal">
      <formula>"Muy Baja"</formula>
    </cfRule>
  </conditionalFormatting>
  <conditionalFormatting sqref="AF19:AF20">
    <cfRule type="cellIs" dxfId="191" priority="406" operator="equal">
      <formula>"Catastrófico"</formula>
    </cfRule>
    <cfRule type="cellIs" dxfId="190" priority="407" operator="equal">
      <formula>"Mayor"</formula>
    </cfRule>
    <cfRule type="cellIs" dxfId="189" priority="408" operator="equal">
      <formula>"Moderado"</formula>
    </cfRule>
    <cfRule type="cellIs" dxfId="188" priority="409" operator="equal">
      <formula>"Menor"</formula>
    </cfRule>
    <cfRule type="cellIs" dxfId="187" priority="410" operator="equal">
      <formula>"Leve"</formula>
    </cfRule>
  </conditionalFormatting>
  <conditionalFormatting sqref="AH19:AH20">
    <cfRule type="cellIs" dxfId="186" priority="402" operator="equal">
      <formula>"Extremo"</formula>
    </cfRule>
    <cfRule type="cellIs" dxfId="185" priority="403" operator="equal">
      <formula>"Alto"</formula>
    </cfRule>
    <cfRule type="cellIs" dxfId="184" priority="404" operator="equal">
      <formula>"Moderado"</formula>
    </cfRule>
    <cfRule type="cellIs" dxfId="183" priority="405" operator="equal">
      <formula>"Bajo"</formula>
    </cfRule>
  </conditionalFormatting>
  <conditionalFormatting sqref="O19:O20">
    <cfRule type="containsText" dxfId="182" priority="401" operator="containsText" text="❌">
      <formula>NOT(ISERROR(SEARCH("❌",O19)))</formula>
    </cfRule>
  </conditionalFormatting>
  <conditionalFormatting sqref="P15">
    <cfRule type="cellIs" dxfId="181" priority="391" operator="equal">
      <formula>"Catastrófico"</formula>
    </cfRule>
    <cfRule type="cellIs" dxfId="180" priority="392" operator="equal">
      <formula>"Mayor"</formula>
    </cfRule>
    <cfRule type="cellIs" dxfId="179" priority="393" operator="equal">
      <formula>"Moderado"</formula>
    </cfRule>
    <cfRule type="cellIs" dxfId="178" priority="394" operator="equal">
      <formula>"Menor"</formula>
    </cfRule>
    <cfRule type="cellIs" dxfId="177" priority="395" operator="equal">
      <formula>"Leve"</formula>
    </cfRule>
  </conditionalFormatting>
  <conditionalFormatting sqref="R15">
    <cfRule type="cellIs" dxfId="176" priority="387" operator="equal">
      <formula>"Extremo"</formula>
    </cfRule>
    <cfRule type="cellIs" dxfId="175" priority="388" operator="equal">
      <formula>"Alto"</formula>
    </cfRule>
    <cfRule type="cellIs" dxfId="174" priority="389" operator="equal">
      <formula>"Moderado"</formula>
    </cfRule>
    <cfRule type="cellIs" dxfId="173" priority="390" operator="equal">
      <formula>"Bajo"</formula>
    </cfRule>
  </conditionalFormatting>
  <conditionalFormatting sqref="AD15">
    <cfRule type="cellIs" dxfId="172" priority="382" operator="equal">
      <formula>"Muy Alta"</formula>
    </cfRule>
    <cfRule type="cellIs" dxfId="171" priority="383" operator="equal">
      <formula>"Alta"</formula>
    </cfRule>
    <cfRule type="cellIs" dxfId="170" priority="384" operator="equal">
      <formula>"Media"</formula>
    </cfRule>
    <cfRule type="cellIs" dxfId="169" priority="385" operator="equal">
      <formula>"Baja"</formula>
    </cfRule>
    <cfRule type="cellIs" dxfId="168" priority="386" operator="equal">
      <formula>"Muy Baja"</formula>
    </cfRule>
  </conditionalFormatting>
  <conditionalFormatting sqref="AF15">
    <cfRule type="cellIs" dxfId="167" priority="377" operator="equal">
      <formula>"Catastrófico"</formula>
    </cfRule>
    <cfRule type="cellIs" dxfId="166" priority="378" operator="equal">
      <formula>"Mayor"</formula>
    </cfRule>
    <cfRule type="cellIs" dxfId="165" priority="379" operator="equal">
      <formula>"Moderado"</formula>
    </cfRule>
    <cfRule type="cellIs" dxfId="164" priority="380" operator="equal">
      <formula>"Menor"</formula>
    </cfRule>
    <cfRule type="cellIs" dxfId="163" priority="381" operator="equal">
      <formula>"Leve"</formula>
    </cfRule>
  </conditionalFormatting>
  <conditionalFormatting sqref="AH15">
    <cfRule type="cellIs" dxfId="162" priority="373" operator="equal">
      <formula>"Extremo"</formula>
    </cfRule>
    <cfRule type="cellIs" dxfId="161" priority="374" operator="equal">
      <formula>"Alto"</formula>
    </cfRule>
    <cfRule type="cellIs" dxfId="160" priority="375" operator="equal">
      <formula>"Moderado"</formula>
    </cfRule>
    <cfRule type="cellIs" dxfId="159" priority="376" operator="equal">
      <formula>"Bajo"</formula>
    </cfRule>
  </conditionalFormatting>
  <conditionalFormatting sqref="O15">
    <cfRule type="containsText" dxfId="158" priority="372" operator="containsText" text="❌">
      <formula>NOT(ISERROR(SEARCH("❌",O15)))</formula>
    </cfRule>
  </conditionalFormatting>
  <conditionalFormatting sqref="AD16">
    <cfRule type="cellIs" dxfId="157" priority="353" operator="equal">
      <formula>"Muy Alta"</formula>
    </cfRule>
    <cfRule type="cellIs" dxfId="156" priority="354" operator="equal">
      <formula>"Alta"</formula>
    </cfRule>
    <cfRule type="cellIs" dxfId="155" priority="355" operator="equal">
      <formula>"Media"</formula>
    </cfRule>
    <cfRule type="cellIs" dxfId="154" priority="356" operator="equal">
      <formula>"Baja"</formula>
    </cfRule>
    <cfRule type="cellIs" dxfId="153" priority="357" operator="equal">
      <formula>"Muy Baja"</formula>
    </cfRule>
  </conditionalFormatting>
  <conditionalFormatting sqref="AF16">
    <cfRule type="cellIs" dxfId="152" priority="348" operator="equal">
      <formula>"Catastrófico"</formula>
    </cfRule>
    <cfRule type="cellIs" dxfId="151" priority="349" operator="equal">
      <formula>"Mayor"</formula>
    </cfRule>
    <cfRule type="cellIs" dxfId="150" priority="350" operator="equal">
      <formula>"Moderado"</formula>
    </cfRule>
    <cfRule type="cellIs" dxfId="149" priority="351" operator="equal">
      <formula>"Menor"</formula>
    </cfRule>
    <cfRule type="cellIs" dxfId="148" priority="352" operator="equal">
      <formula>"Leve"</formula>
    </cfRule>
  </conditionalFormatting>
  <conditionalFormatting sqref="AH16">
    <cfRule type="cellIs" dxfId="147" priority="344" operator="equal">
      <formula>"Extremo"</formula>
    </cfRule>
    <cfRule type="cellIs" dxfId="146" priority="345" operator="equal">
      <formula>"Alto"</formula>
    </cfRule>
    <cfRule type="cellIs" dxfId="145" priority="346" operator="equal">
      <formula>"Moderado"</formula>
    </cfRule>
    <cfRule type="cellIs" dxfId="144" priority="347" operator="equal">
      <formula>"Bajo"</formula>
    </cfRule>
  </conditionalFormatting>
  <conditionalFormatting sqref="L16">
    <cfRule type="cellIs" dxfId="143" priority="323" operator="equal">
      <formula>"Muy Alta"</formula>
    </cfRule>
    <cfRule type="cellIs" dxfId="142" priority="324" operator="equal">
      <formula>"Alta"</formula>
    </cfRule>
    <cfRule type="cellIs" dxfId="141" priority="325" operator="equal">
      <formula>"Media"</formula>
    </cfRule>
    <cfRule type="cellIs" dxfId="140" priority="326" operator="equal">
      <formula>"Baja"</formula>
    </cfRule>
    <cfRule type="cellIs" dxfId="139" priority="327" operator="equal">
      <formula>"Muy Baja"</formula>
    </cfRule>
  </conditionalFormatting>
  <conditionalFormatting sqref="P16">
    <cfRule type="cellIs" dxfId="138" priority="318" operator="equal">
      <formula>"Catastrófico"</formula>
    </cfRule>
    <cfRule type="cellIs" dxfId="137" priority="319" operator="equal">
      <formula>"Mayor"</formula>
    </cfRule>
    <cfRule type="cellIs" dxfId="136" priority="320" operator="equal">
      <formula>"Moderado"</formula>
    </cfRule>
    <cfRule type="cellIs" dxfId="135" priority="321" operator="equal">
      <formula>"Menor"</formula>
    </cfRule>
    <cfRule type="cellIs" dxfId="134" priority="322" operator="equal">
      <formula>"Leve"</formula>
    </cfRule>
  </conditionalFormatting>
  <conditionalFormatting sqref="R16">
    <cfRule type="cellIs" dxfId="133" priority="314" operator="equal">
      <formula>"Extremo"</formula>
    </cfRule>
    <cfRule type="cellIs" dxfId="132" priority="315" operator="equal">
      <formula>"Alto"</formula>
    </cfRule>
    <cfRule type="cellIs" dxfId="131" priority="316" operator="equal">
      <formula>"Moderado"</formula>
    </cfRule>
    <cfRule type="cellIs" dxfId="130" priority="317" operator="equal">
      <formula>"Bajo"</formula>
    </cfRule>
  </conditionalFormatting>
  <conditionalFormatting sqref="O16">
    <cfRule type="containsText" dxfId="129" priority="313" operator="containsText" text="❌">
      <formula>NOT(ISERROR(SEARCH("❌",O16)))</formula>
    </cfRule>
  </conditionalFormatting>
  <conditionalFormatting sqref="L17">
    <cfRule type="cellIs" dxfId="128" priority="308" operator="equal">
      <formula>"Muy Alta"</formula>
    </cfRule>
    <cfRule type="cellIs" dxfId="127" priority="309" operator="equal">
      <formula>"Alta"</formula>
    </cfRule>
    <cfRule type="cellIs" dxfId="126" priority="310" operator="equal">
      <formula>"Media"</formula>
    </cfRule>
    <cfRule type="cellIs" dxfId="125" priority="311" operator="equal">
      <formula>"Baja"</formula>
    </cfRule>
    <cfRule type="cellIs" dxfId="124" priority="312" operator="equal">
      <formula>"Muy Baja"</formula>
    </cfRule>
  </conditionalFormatting>
  <conditionalFormatting sqref="P17">
    <cfRule type="cellIs" dxfId="123" priority="303" operator="equal">
      <formula>"Catastrófico"</formula>
    </cfRule>
    <cfRule type="cellIs" dxfId="122" priority="304" operator="equal">
      <formula>"Mayor"</formula>
    </cfRule>
    <cfRule type="cellIs" dxfId="121" priority="305" operator="equal">
      <formula>"Moderado"</formula>
    </cfRule>
    <cfRule type="cellIs" dxfId="120" priority="306" operator="equal">
      <formula>"Menor"</formula>
    </cfRule>
    <cfRule type="cellIs" dxfId="119" priority="307" operator="equal">
      <formula>"Leve"</formula>
    </cfRule>
  </conditionalFormatting>
  <conditionalFormatting sqref="R17">
    <cfRule type="cellIs" dxfId="118" priority="299" operator="equal">
      <formula>"Extremo"</formula>
    </cfRule>
    <cfRule type="cellIs" dxfId="117" priority="300" operator="equal">
      <formula>"Alto"</formula>
    </cfRule>
    <cfRule type="cellIs" dxfId="116" priority="301" operator="equal">
      <formula>"Moderado"</formula>
    </cfRule>
    <cfRule type="cellIs" dxfId="115" priority="302" operator="equal">
      <formula>"Bajo"</formula>
    </cfRule>
  </conditionalFormatting>
  <conditionalFormatting sqref="AD17">
    <cfRule type="cellIs" dxfId="114" priority="294" operator="equal">
      <formula>"Muy Alta"</formula>
    </cfRule>
    <cfRule type="cellIs" dxfId="113" priority="295" operator="equal">
      <formula>"Alta"</formula>
    </cfRule>
    <cfRule type="cellIs" dxfId="112" priority="296" operator="equal">
      <formula>"Media"</formula>
    </cfRule>
    <cfRule type="cellIs" dxfId="111" priority="297" operator="equal">
      <formula>"Baja"</formula>
    </cfRule>
    <cfRule type="cellIs" dxfId="110" priority="298" operator="equal">
      <formula>"Muy Baja"</formula>
    </cfRule>
  </conditionalFormatting>
  <conditionalFormatting sqref="AF17">
    <cfRule type="cellIs" dxfId="109" priority="289" operator="equal">
      <formula>"Catastrófico"</formula>
    </cfRule>
    <cfRule type="cellIs" dxfId="108" priority="290" operator="equal">
      <formula>"Mayor"</formula>
    </cfRule>
    <cfRule type="cellIs" dxfId="107" priority="291" operator="equal">
      <formula>"Moderado"</formula>
    </cfRule>
    <cfRule type="cellIs" dxfId="106" priority="292" operator="equal">
      <formula>"Menor"</formula>
    </cfRule>
    <cfRule type="cellIs" dxfId="105" priority="293" operator="equal">
      <formula>"Leve"</formula>
    </cfRule>
  </conditionalFormatting>
  <conditionalFormatting sqref="AH17">
    <cfRule type="cellIs" dxfId="104" priority="285" operator="equal">
      <formula>"Extremo"</formula>
    </cfRule>
    <cfRule type="cellIs" dxfId="103" priority="286" operator="equal">
      <formula>"Alto"</formula>
    </cfRule>
    <cfRule type="cellIs" dxfId="102" priority="287" operator="equal">
      <formula>"Moderado"</formula>
    </cfRule>
    <cfRule type="cellIs" dxfId="101" priority="288" operator="equal">
      <formula>"Bajo"</formula>
    </cfRule>
  </conditionalFormatting>
  <conditionalFormatting sqref="O17">
    <cfRule type="containsText" dxfId="100" priority="284" operator="containsText" text="❌">
      <formula>NOT(ISERROR(SEARCH("❌",O17)))</formula>
    </cfRule>
  </conditionalFormatting>
  <conditionalFormatting sqref="P19">
    <cfRule type="cellIs" dxfId="99" priority="279" operator="equal">
      <formula>"Catastrófico"</formula>
    </cfRule>
    <cfRule type="cellIs" dxfId="98" priority="280" operator="equal">
      <formula>"Mayor"</formula>
    </cfRule>
    <cfRule type="cellIs" dxfId="97" priority="281" operator="equal">
      <formula>"Moderado"</formula>
    </cfRule>
    <cfRule type="cellIs" dxfId="96" priority="282" operator="equal">
      <formula>"Menor"</formula>
    </cfRule>
    <cfRule type="cellIs" dxfId="95" priority="283" operator="equal">
      <formula>"Leve"</formula>
    </cfRule>
  </conditionalFormatting>
  <conditionalFormatting sqref="R19">
    <cfRule type="cellIs" dxfId="94" priority="275" operator="equal">
      <formula>"Extremo"</formula>
    </cfRule>
    <cfRule type="cellIs" dxfId="93" priority="276" operator="equal">
      <formula>"Alto"</formula>
    </cfRule>
    <cfRule type="cellIs" dxfId="92" priority="277" operator="equal">
      <formula>"Moderado"</formula>
    </cfRule>
    <cfRule type="cellIs" dxfId="91" priority="278" operator="equal">
      <formula>"Bajo"</formula>
    </cfRule>
  </conditionalFormatting>
  <conditionalFormatting sqref="L24">
    <cfRule type="cellIs" dxfId="90" priority="156" operator="equal">
      <formula>"Muy Alta"</formula>
    </cfRule>
    <cfRule type="cellIs" dxfId="89" priority="157" operator="equal">
      <formula>"Alta"</formula>
    </cfRule>
    <cfRule type="cellIs" dxfId="88" priority="158" operator="equal">
      <formula>"Media"</formula>
    </cfRule>
    <cfRule type="cellIs" dxfId="87" priority="159" operator="equal">
      <formula>"Baja"</formula>
    </cfRule>
    <cfRule type="cellIs" dxfId="86" priority="160" operator="equal">
      <formula>"Muy Baja"</formula>
    </cfRule>
  </conditionalFormatting>
  <conditionalFormatting sqref="P24">
    <cfRule type="cellIs" dxfId="85" priority="151" operator="equal">
      <formula>"Catastrófico"</formula>
    </cfRule>
    <cfRule type="cellIs" dxfId="84" priority="152" operator="equal">
      <formula>"Mayor"</formula>
    </cfRule>
    <cfRule type="cellIs" dxfId="83" priority="153" operator="equal">
      <formula>"Moderado"</formula>
    </cfRule>
    <cfRule type="cellIs" dxfId="82" priority="154" operator="equal">
      <formula>"Menor"</formula>
    </cfRule>
    <cfRule type="cellIs" dxfId="81" priority="155" operator="equal">
      <formula>"Leve"</formula>
    </cfRule>
  </conditionalFormatting>
  <conditionalFormatting sqref="R24">
    <cfRule type="cellIs" dxfId="80" priority="147" operator="equal">
      <formula>"Extremo"</formula>
    </cfRule>
    <cfRule type="cellIs" dxfId="79" priority="148" operator="equal">
      <formula>"Alto"</formula>
    </cfRule>
    <cfRule type="cellIs" dxfId="78" priority="149" operator="equal">
      <formula>"Moderado"</formula>
    </cfRule>
    <cfRule type="cellIs" dxfId="77" priority="150" operator="equal">
      <formula>"Bajo"</formula>
    </cfRule>
  </conditionalFormatting>
  <conditionalFormatting sqref="AD24">
    <cfRule type="cellIs" dxfId="76" priority="142" operator="equal">
      <formula>"Muy Alta"</formula>
    </cfRule>
    <cfRule type="cellIs" dxfId="75" priority="143" operator="equal">
      <formula>"Alta"</formula>
    </cfRule>
    <cfRule type="cellIs" dxfId="74" priority="144" operator="equal">
      <formula>"Media"</formula>
    </cfRule>
    <cfRule type="cellIs" dxfId="73" priority="145" operator="equal">
      <formula>"Baja"</formula>
    </cfRule>
    <cfRule type="cellIs" dxfId="72" priority="146" operator="equal">
      <formula>"Muy Baja"</formula>
    </cfRule>
  </conditionalFormatting>
  <conditionalFormatting sqref="AF24">
    <cfRule type="cellIs" dxfId="71" priority="137" operator="equal">
      <formula>"Catastrófico"</formula>
    </cfRule>
    <cfRule type="cellIs" dxfId="70" priority="138" operator="equal">
      <formula>"Mayor"</formula>
    </cfRule>
    <cfRule type="cellIs" dxfId="69" priority="139" operator="equal">
      <formula>"Moderado"</formula>
    </cfRule>
    <cfRule type="cellIs" dxfId="68" priority="140" operator="equal">
      <formula>"Menor"</formula>
    </cfRule>
    <cfRule type="cellIs" dxfId="67" priority="141" operator="equal">
      <formula>"Leve"</formula>
    </cfRule>
  </conditionalFormatting>
  <conditionalFormatting sqref="AH24">
    <cfRule type="cellIs" dxfId="66" priority="133" operator="equal">
      <formula>"Extremo"</formula>
    </cfRule>
    <cfRule type="cellIs" dxfId="65" priority="134" operator="equal">
      <formula>"Alto"</formula>
    </cfRule>
    <cfRule type="cellIs" dxfId="64" priority="135" operator="equal">
      <formula>"Moderado"</formula>
    </cfRule>
    <cfRule type="cellIs" dxfId="63" priority="136" operator="equal">
      <formula>"Bajo"</formula>
    </cfRule>
  </conditionalFormatting>
  <conditionalFormatting sqref="O24">
    <cfRule type="containsText" dxfId="62" priority="132" operator="containsText" text="❌">
      <formula>NOT(ISERROR(SEARCH("❌",O24)))</formula>
    </cfRule>
  </conditionalFormatting>
  <conditionalFormatting sqref="AD25">
    <cfRule type="cellIs" dxfId="61" priority="93" operator="equal">
      <formula>"Muy Alta"</formula>
    </cfRule>
    <cfRule type="cellIs" dxfId="60" priority="94" operator="equal">
      <formula>"Alta"</formula>
    </cfRule>
    <cfRule type="cellIs" dxfId="59" priority="95" operator="equal">
      <formula>"Media"</formula>
    </cfRule>
    <cfRule type="cellIs" dxfId="58" priority="96" operator="equal">
      <formula>"Baja"</formula>
    </cfRule>
    <cfRule type="cellIs" dxfId="57" priority="97" operator="equal">
      <formula>"Muy Baja"</formula>
    </cfRule>
  </conditionalFormatting>
  <conditionalFormatting sqref="AF25">
    <cfRule type="cellIs" dxfId="56" priority="88" operator="equal">
      <formula>"Catastrófico"</formula>
    </cfRule>
    <cfRule type="cellIs" dxfId="55" priority="89" operator="equal">
      <formula>"Mayor"</formula>
    </cfRule>
    <cfRule type="cellIs" dxfId="54" priority="90" operator="equal">
      <formula>"Moderado"</formula>
    </cfRule>
    <cfRule type="cellIs" dxfId="53" priority="91" operator="equal">
      <formula>"Menor"</formula>
    </cfRule>
    <cfRule type="cellIs" dxfId="52" priority="92" operator="equal">
      <formula>"Leve"</formula>
    </cfRule>
  </conditionalFormatting>
  <conditionalFormatting sqref="AH25">
    <cfRule type="cellIs" dxfId="51" priority="84" operator="equal">
      <formula>"Extremo"</formula>
    </cfRule>
    <cfRule type="cellIs" dxfId="50" priority="85" operator="equal">
      <formula>"Alto"</formula>
    </cfRule>
    <cfRule type="cellIs" dxfId="49" priority="86" operator="equal">
      <formula>"Moderado"</formula>
    </cfRule>
    <cfRule type="cellIs" dxfId="48" priority="87" operator="equal">
      <formula>"Bajo"</formula>
    </cfRule>
  </conditionalFormatting>
  <conditionalFormatting sqref="L21">
    <cfRule type="cellIs" dxfId="47" priority="69" operator="equal">
      <formula>"Muy Alta"</formula>
    </cfRule>
    <cfRule type="cellIs" dxfId="46" priority="70" operator="equal">
      <formula>"Alta"</formula>
    </cfRule>
    <cfRule type="cellIs" dxfId="45" priority="71" operator="equal">
      <formula>"Media"</formula>
    </cfRule>
    <cfRule type="cellIs" dxfId="44" priority="72" operator="equal">
      <formula>"Baja"</formula>
    </cfRule>
    <cfRule type="cellIs" dxfId="43" priority="73" operator="equal">
      <formula>"Muy Baja"</formula>
    </cfRule>
  </conditionalFormatting>
  <conditionalFormatting sqref="P21">
    <cfRule type="cellIs" dxfId="42" priority="64" operator="equal">
      <formula>"Catastrófico"</formula>
    </cfRule>
    <cfRule type="cellIs" dxfId="41" priority="65" operator="equal">
      <formula>"Mayor"</formula>
    </cfRule>
    <cfRule type="cellIs" dxfId="40" priority="66" operator="equal">
      <formula>"Moderado"</formula>
    </cfRule>
    <cfRule type="cellIs" dxfId="39" priority="67" operator="equal">
      <formula>"Menor"</formula>
    </cfRule>
    <cfRule type="cellIs" dxfId="38" priority="68" operator="equal">
      <formula>"Leve"</formula>
    </cfRule>
  </conditionalFormatting>
  <conditionalFormatting sqref="R21">
    <cfRule type="cellIs" dxfId="37" priority="60" operator="equal">
      <formula>"Extremo"</formula>
    </cfRule>
    <cfRule type="cellIs" dxfId="36" priority="61" operator="equal">
      <formula>"Alto"</formula>
    </cfRule>
    <cfRule type="cellIs" dxfId="35" priority="62" operator="equal">
      <formula>"Moderado"</formula>
    </cfRule>
    <cfRule type="cellIs" dxfId="34" priority="63" operator="equal">
      <formula>"Bajo"</formula>
    </cfRule>
  </conditionalFormatting>
  <conditionalFormatting sqref="AD21">
    <cfRule type="cellIs" dxfId="33" priority="55" operator="equal">
      <formula>"Muy Alta"</formula>
    </cfRule>
    <cfRule type="cellIs" dxfId="32" priority="56" operator="equal">
      <formula>"Alta"</formula>
    </cfRule>
    <cfRule type="cellIs" dxfId="31" priority="57" operator="equal">
      <formula>"Media"</formula>
    </cfRule>
    <cfRule type="cellIs" dxfId="30" priority="58" operator="equal">
      <formula>"Baja"</formula>
    </cfRule>
    <cfRule type="cellIs" dxfId="29" priority="59" operator="equal">
      <formula>"Muy Baja"</formula>
    </cfRule>
  </conditionalFormatting>
  <conditionalFormatting sqref="AF21">
    <cfRule type="cellIs" dxfId="28" priority="50" operator="equal">
      <formula>"Catastrófico"</formula>
    </cfRule>
    <cfRule type="cellIs" dxfId="27" priority="51" operator="equal">
      <formula>"Mayor"</formula>
    </cfRule>
    <cfRule type="cellIs" dxfId="26" priority="52" operator="equal">
      <formula>"Moderado"</formula>
    </cfRule>
    <cfRule type="cellIs" dxfId="25" priority="53" operator="equal">
      <formula>"Menor"</formula>
    </cfRule>
    <cfRule type="cellIs" dxfId="24" priority="54" operator="equal">
      <formula>"Leve"</formula>
    </cfRule>
  </conditionalFormatting>
  <conditionalFormatting sqref="AH21">
    <cfRule type="cellIs" dxfId="23" priority="46" operator="equal">
      <formula>"Extremo"</formula>
    </cfRule>
    <cfRule type="cellIs" dxfId="22" priority="47" operator="equal">
      <formula>"Alto"</formula>
    </cfRule>
    <cfRule type="cellIs" dxfId="21" priority="48" operator="equal">
      <formula>"Moderado"</formula>
    </cfRule>
    <cfRule type="cellIs" dxfId="20" priority="49" operator="equal">
      <formula>"Bajo"</formula>
    </cfRule>
  </conditionalFormatting>
  <conditionalFormatting sqref="O21">
    <cfRule type="containsText" dxfId="19" priority="45" operator="containsText" text="❌">
      <formula>NOT(ISERROR(SEARCH("❌",O21)))</formula>
    </cfRule>
  </conditionalFormatting>
  <conditionalFormatting sqref="L25">
    <cfRule type="cellIs" dxfId="18" priority="40" operator="equal">
      <formula>"Muy Alta"</formula>
    </cfRule>
    <cfRule type="cellIs" dxfId="17" priority="41" operator="equal">
      <formula>"Alta"</formula>
    </cfRule>
    <cfRule type="cellIs" dxfId="16" priority="42" operator="equal">
      <formula>"Media"</formula>
    </cfRule>
    <cfRule type="cellIs" dxfId="15" priority="43" operator="equal">
      <formula>"Baja"</formula>
    </cfRule>
    <cfRule type="cellIs" dxfId="14" priority="44" operator="equal">
      <formula>"Muy Baja"</formula>
    </cfRule>
  </conditionalFormatting>
  <conditionalFormatting sqref="P25">
    <cfRule type="cellIs" dxfId="13" priority="35" operator="equal">
      <formula>"Catastrófico"</formula>
    </cfRule>
    <cfRule type="cellIs" dxfId="12" priority="36" operator="equal">
      <formula>"Mayor"</formula>
    </cfRule>
    <cfRule type="cellIs" dxfId="11" priority="37" operator="equal">
      <formula>"Moderado"</formula>
    </cfRule>
    <cfRule type="cellIs" dxfId="10" priority="38" operator="equal">
      <formula>"Menor"</formula>
    </cfRule>
    <cfRule type="cellIs" dxfId="9" priority="39" operator="equal">
      <formula>"Leve"</formula>
    </cfRule>
  </conditionalFormatting>
  <conditionalFormatting sqref="R25">
    <cfRule type="cellIs" dxfId="8" priority="31" operator="equal">
      <formula>"Extremo"</formula>
    </cfRule>
    <cfRule type="cellIs" dxfId="7" priority="32" operator="equal">
      <formula>"Alto"</formula>
    </cfRule>
    <cfRule type="cellIs" dxfId="6" priority="33" operator="equal">
      <formula>"Moderado"</formula>
    </cfRule>
    <cfRule type="cellIs" dxfId="5" priority="34" operator="equal">
      <formula>"Bajo"</formula>
    </cfRule>
  </conditionalFormatting>
  <conditionalFormatting sqref="O25">
    <cfRule type="containsText" dxfId="4" priority="30" operator="containsText" text="❌">
      <formula>NOT(ISERROR(SEARCH("❌",O25)))</formula>
    </cfRule>
  </conditionalFormatting>
  <dataValidations count="6">
    <dataValidation type="list" allowBlank="1" showInputMessage="1" showErrorMessage="1" sqref="G28" xr:uid="{00000000-0002-0000-0100-000000000000}">
      <formula1>$G$185:$G$194</formula1>
    </dataValidation>
    <dataValidation type="list" allowBlank="1" showInputMessage="1" showErrorMessage="1" sqref="G30 AE30:AF30" xr:uid="{00000000-0002-0000-0100-000001000000}">
      <formula1>#REF!</formula1>
    </dataValidation>
    <dataValidation type="list" allowBlank="1" showInputMessage="1" showErrorMessage="1" sqref="V30" xr:uid="{00000000-0002-0000-0100-000002000000}">
      <formula1>$N$185:$N$186</formula1>
    </dataValidation>
    <dataValidation type="list" allowBlank="1" showInputMessage="1" showErrorMessage="1" sqref="K30" xr:uid="{00000000-0002-0000-0100-000003000000}">
      <formula1>$K$185:$K$189</formula1>
    </dataValidation>
    <dataValidation type="list" allowBlank="1" showInputMessage="1" showErrorMessage="1" sqref="H30:J30" xr:uid="{00000000-0002-0000-0100-000004000000}">
      <formula1>$H$185:$H$189</formula1>
    </dataValidation>
    <dataValidation type="list" allowBlank="1" showInputMessage="1" showErrorMessage="1" sqref="Y30:AD30 W30 AL30 AN30" xr:uid="{00000000-0002-0000-0100-000005000000}">
      <formula1>$AL$185:$AL$192</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6000000}">
          <x14:formula1>
            <xm:f>'Opciones Tratamiento'!$B$13:$B$19</xm:f>
          </x14:formula1>
          <xm:sqref>H13 H17 H19:H21 H23</xm:sqref>
        </x14:dataValidation>
        <x14:dataValidation type="list" allowBlank="1" showInputMessage="1" showErrorMessage="1" xr:uid="{00000000-0002-0000-0100-000007000000}">
          <x14:formula1>
            <xm:f>'Opciones Tratamiento'!$E$2:$E$4</xm:f>
          </x14:formula1>
          <xm:sqref>D13 D17 D23 D19:D21</xm:sqref>
        </x14:dataValidation>
        <x14:dataValidation type="list" allowBlank="1" showInputMessage="1" showErrorMessage="1" xr:uid="{00000000-0002-0000-0100-000008000000}">
          <x14:formula1>
            <xm:f>'Opciones Tratamiento'!$B$2:$B$5</xm:f>
          </x14:formula1>
          <xm:sqref>AI13 AI17 AI19:AI21 AI23:AI25</xm:sqref>
        </x14:dataValidation>
        <x14:dataValidation type="custom" allowBlank="1" showInputMessage="1" showErrorMessage="1" error="Recuerde que las acciones se generan bajo la medida de mitigar el riesgo" xr:uid="{00000000-0002-0000-0100-000009000000}">
          <x14:formula1>
            <xm:f>IF(OR(AI13='Opciones Tratamiento'!$B$2,AI13='Opciones Tratamiento'!$B$3,AI13='Opciones Tratamiento'!$B$4),ISBLANK(AI13),ISTEXT(AI13))</xm:f>
          </x14:formula1>
          <xm:sqref>AJ13:AJ20 AJ23:AJ25</xm:sqref>
        </x14:dataValidation>
        <x14:dataValidation type="list" allowBlank="1" showInputMessage="1" showErrorMessage="1" xr:uid="{00000000-0002-0000-0100-00000A000000}">
          <x14:formula1>
            <xm:f>Listas!$A$2:$A$9</xm:f>
          </x14:formula1>
          <xm:sqref>B13 B17 B23 B19:B21</xm:sqref>
        </x14:dataValidation>
        <x14:dataValidation type="list" allowBlank="1" showInputMessage="1" showErrorMessage="1" xr:uid="{00000000-0002-0000-0100-00000B000000}">
          <x14:formula1>
            <xm:f>Listas!$B$2:$B$7</xm:f>
          </x14:formula1>
          <xm:sqref>C13 C17 C23 C19:C21</xm:sqref>
        </x14:dataValidation>
        <x14:dataValidation type="list" allowBlank="1" showInputMessage="1" showErrorMessage="1" xr:uid="{00000000-0002-0000-0100-00000C000000}">
          <x14:formula1>
            <xm:f>Listas!$C$2:$C$6</xm:f>
          </x14:formula1>
          <xm:sqref>I13 I17 I19:I21 I23</xm:sqref>
        </x14:dataValidation>
        <x14:dataValidation type="list" allowBlank="1" showInputMessage="1" showErrorMessage="1" xr:uid="{00000000-0002-0000-0100-00000D000000}">
          <x14:formula1>
            <xm:f>Listas!$D$2:$D$5</xm:f>
          </x14:formula1>
          <xm:sqref>J13 J17 J19:J21 J23</xm:sqref>
        </x14:dataValidation>
        <x14:dataValidation type="list" allowBlank="1" showInputMessage="1" showErrorMessage="1" xr:uid="{00000000-0002-0000-0100-00000E000000}">
          <x14:formula1>
            <xm:f>'Opciones Tratamiento'!$B$9:$B$10</xm:f>
          </x14:formula1>
          <xm:sqref>AR13:AR25 AO13:AO25 AU13 AU17 AU19:AU21 AU23</xm:sqref>
        </x14:dataValidation>
        <x14:dataValidation type="list" allowBlank="1" showInputMessage="1" showErrorMessage="1" xr:uid="{00000000-0002-0000-0100-00000F000000}">
          <x14:formula1>
            <xm:f>'Tabla Valoración controles'!$D$4:$D$6</xm:f>
          </x14:formula1>
          <xm:sqref>W13:W25</xm:sqref>
        </x14:dataValidation>
        <x14:dataValidation type="list" allowBlank="1" showInputMessage="1" showErrorMessage="1" xr:uid="{00000000-0002-0000-0100-000010000000}">
          <x14:formula1>
            <xm:f>'Tabla Valoración controles'!$D$7:$D$8</xm:f>
          </x14:formula1>
          <xm:sqref>X13:X25</xm:sqref>
        </x14:dataValidation>
        <x14:dataValidation type="list" allowBlank="1" showInputMessage="1" showErrorMessage="1" xr:uid="{00000000-0002-0000-0100-000011000000}">
          <x14:formula1>
            <xm:f>'Tabla Valoración controles'!$D$9:$D$10</xm:f>
          </x14:formula1>
          <xm:sqref>Z13:Z25</xm:sqref>
        </x14:dataValidation>
        <x14:dataValidation type="list" allowBlank="1" showInputMessage="1" showErrorMessage="1" xr:uid="{00000000-0002-0000-0100-000012000000}">
          <x14:formula1>
            <xm:f>'Tabla Valoración controles'!$D$11:$D$12</xm:f>
          </x14:formula1>
          <xm:sqref>AA13:AA25</xm:sqref>
        </x14:dataValidation>
        <x14:dataValidation type="list" allowBlank="1" showInputMessage="1" showErrorMessage="1" xr:uid="{00000000-0002-0000-0100-000013000000}">
          <x14:formula1>
            <xm:f>'Tabla Valoración controles'!$D$13:$D$14</xm:f>
          </x14:formula1>
          <xm:sqref>AB13:AB25</xm:sqref>
        </x14:dataValidation>
        <x14:dataValidation type="list" allowBlank="1" showInputMessage="1" showErrorMessage="1" xr:uid="{00000000-0002-0000-0100-000014000000}">
          <x14:formula1>
            <xm:f>'Tabla Impacto'!$F$210:$F$221</xm:f>
          </x14:formula1>
          <xm:sqref>N13:N25</xm:sqref>
        </x14:dataValidation>
        <x14:dataValidation type="custom" allowBlank="1" showInputMessage="1" showErrorMessage="1" error="Recuerde que las acciones se generan bajo la medida de mitigar el riesgo" xr:uid="{00000000-0002-0000-0100-000015000000}">
          <x14:formula1>
            <xm:f>IF(OR(AI13='Opciones Tratamiento'!$B$2,AI13='Opciones Tratamiento'!$B$3,AI13='Opciones Tratamiento'!$B$4),ISBLANK(AI13),ISTEXT(AI13))</xm:f>
          </x14:formula1>
          <xm:sqref>AK13:AK25</xm:sqref>
        </x14:dataValidation>
        <x14:dataValidation type="custom" allowBlank="1" showInputMessage="1" showErrorMessage="1" error="Recuerde que las acciones se generan bajo la medida de mitigar el riesgo" xr:uid="{00000000-0002-0000-0100-000016000000}">
          <x14:formula1>
            <xm:f>IF(OR(AI13='Opciones Tratamiento'!$B$2,AI13='Opciones Tratamiento'!$B$3,AI13='Opciones Tratamiento'!$B$4),ISBLANK(AI13),ISTEXT(AI13))</xm:f>
          </x14:formula1>
          <xm:sqref>AL13:AL25</xm:sqref>
        </x14:dataValidation>
        <x14:dataValidation type="custom" allowBlank="1" showInputMessage="1" showErrorMessage="1" error="Recuerde que las acciones se generan bajo la medida de mitigar el riesgo" xr:uid="{00000000-0002-0000-0100-000017000000}">
          <x14:formula1>
            <xm:f>IF(OR(AI13='Opciones Tratamiento'!$B$2,AI13='Opciones Tratamiento'!$B$3,AI13='Opciones Tratamiento'!$B$4),ISBLANK(AI13),ISTEXT(AI13))</xm:f>
          </x14:formula1>
          <xm:sqref>AM13:AM21 AM22:AN22 AM23:AM25 AS13:AS25</xm:sqref>
        </x14:dataValidation>
        <x14:dataValidation type="custom" allowBlank="1" showInputMessage="1" showErrorMessage="1" error="Recuerde que las acciones se generan bajo la medida de mitigar el riesgo" xr:uid="{00000000-0002-0000-0100-000018000000}">
          <x14:formula1>
            <xm:f>IF(OR(AI13='Opciones Tratamiento'!$B$2,AI13='Opciones Tratamiento'!$B$3,AI13='Opciones Tratamiento'!$B$4),ISBLANK(AI13),ISTEXT(AI13))</xm:f>
          </x14:formula1>
          <xm:sqref>AN23:AN25 AN13:AN20 AT13:AT25 AP13:AP25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225</v>
      </c>
      <c r="B1" t="s">
        <v>234</v>
      </c>
      <c r="C1" t="s">
        <v>240</v>
      </c>
      <c r="D1" t="s">
        <v>249</v>
      </c>
    </row>
    <row r="2" spans="1:4" x14ac:dyDescent="0.25">
      <c r="A2" t="s">
        <v>233</v>
      </c>
      <c r="B2" t="s">
        <v>235</v>
      </c>
      <c r="C2" t="s">
        <v>241</v>
      </c>
      <c r="D2" t="s">
        <v>246</v>
      </c>
    </row>
    <row r="3" spans="1:4" x14ac:dyDescent="0.25">
      <c r="A3" t="s">
        <v>226</v>
      </c>
      <c r="B3" t="s">
        <v>228</v>
      </c>
      <c r="C3" t="s">
        <v>242</v>
      </c>
      <c r="D3" t="s">
        <v>247</v>
      </c>
    </row>
    <row r="4" spans="1:4" x14ac:dyDescent="0.25">
      <c r="A4" t="s">
        <v>227</v>
      </c>
      <c r="B4" t="s">
        <v>236</v>
      </c>
      <c r="C4" t="s">
        <v>243</v>
      </c>
      <c r="D4" t="s">
        <v>248</v>
      </c>
    </row>
    <row r="5" spans="1:4" x14ac:dyDescent="0.25">
      <c r="A5" t="s">
        <v>228</v>
      </c>
      <c r="B5" t="s">
        <v>237</v>
      </c>
      <c r="C5" t="s">
        <v>244</v>
      </c>
      <c r="D5" t="s">
        <v>245</v>
      </c>
    </row>
    <row r="6" spans="1:4" x14ac:dyDescent="0.25">
      <c r="A6" t="s">
        <v>229</v>
      </c>
      <c r="B6" t="s">
        <v>238</v>
      </c>
      <c r="C6" t="s">
        <v>245</v>
      </c>
    </row>
    <row r="7" spans="1:4" x14ac:dyDescent="0.25">
      <c r="A7" t="s">
        <v>230</v>
      </c>
      <c r="B7" t="s">
        <v>239</v>
      </c>
    </row>
    <row r="8" spans="1:4" x14ac:dyDescent="0.25">
      <c r="A8" t="s">
        <v>231</v>
      </c>
    </row>
    <row r="9" spans="1:4" x14ac:dyDescent="0.25">
      <c r="A9" t="s">
        <v>232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X24" sqref="X24:Y25"/>
    </sheetView>
  </sheetViews>
  <sheetFormatPr baseColWidth="10" defaultRowHeight="15" x14ac:dyDescent="0.25"/>
  <cols>
    <col min="2" max="22" width="5.7109375" customWidth="1"/>
    <col min="23" max="23" width="3.5703125" customWidth="1"/>
    <col min="24" max="39" width="5.7109375" customWidth="1"/>
    <col min="41" max="46" width="5.7109375" customWidth="1"/>
  </cols>
  <sheetData>
    <row r="1" spans="1:99"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row>
    <row r="2" spans="1:99" ht="18" customHeight="1" x14ac:dyDescent="0.25">
      <c r="A2" s="69"/>
      <c r="B2" s="254" t="s">
        <v>157</v>
      </c>
      <c r="C2" s="254"/>
      <c r="D2" s="254"/>
      <c r="E2" s="254"/>
      <c r="F2" s="254"/>
      <c r="G2" s="254"/>
      <c r="H2" s="254"/>
      <c r="I2" s="254"/>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row>
    <row r="3" spans="1:99" ht="18.75" customHeight="1" x14ac:dyDescent="0.25">
      <c r="A3" s="69"/>
      <c r="B3" s="254"/>
      <c r="C3" s="254"/>
      <c r="D3" s="254"/>
      <c r="E3" s="254"/>
      <c r="F3" s="254"/>
      <c r="G3" s="254"/>
      <c r="H3" s="254"/>
      <c r="I3" s="254"/>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row>
    <row r="4" spans="1:99" ht="15" customHeight="1" x14ac:dyDescent="0.25">
      <c r="A4" s="69"/>
      <c r="B4" s="254"/>
      <c r="C4" s="254"/>
      <c r="D4" s="254"/>
      <c r="E4" s="254"/>
      <c r="F4" s="254"/>
      <c r="G4" s="254"/>
      <c r="H4" s="254"/>
      <c r="I4" s="254"/>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row>
    <row r="5" spans="1:99"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row>
    <row r="6" spans="1:99" ht="15" customHeight="1" x14ac:dyDescent="0.25">
      <c r="A6" s="69"/>
      <c r="B6" s="302" t="s">
        <v>4</v>
      </c>
      <c r="C6" s="302"/>
      <c r="D6" s="303"/>
      <c r="E6" s="292" t="s">
        <v>115</v>
      </c>
      <c r="F6" s="293"/>
      <c r="G6" s="293"/>
      <c r="H6" s="293"/>
      <c r="I6" s="294"/>
      <c r="J6" s="288" t="e">
        <f>IF(AND('Mapa final'!#REF!="Muy Alta",'Mapa final'!#REF!="Leve"),CONCATENATE("R",'Mapa final'!#REF!),"")</f>
        <v>#REF!</v>
      </c>
      <c r="K6" s="289"/>
      <c r="L6" s="289" t="str">
        <f>IF(AND('Mapa final'!$L$13="Muy Alta",'Mapa final'!$P$13="Leve"),CONCATENATE("R",'Mapa final'!$A$13),"")</f>
        <v/>
      </c>
      <c r="M6" s="289"/>
      <c r="N6" s="289" t="e">
        <f>IF(AND('Mapa final'!#REF!="Muy Alta",'Mapa final'!#REF!="Leve"),CONCATENATE("R",'Mapa final'!#REF!),"")</f>
        <v>#REF!</v>
      </c>
      <c r="O6" s="290"/>
      <c r="P6" s="288" t="e">
        <f>IF(AND('Mapa final'!#REF!="Muy Alta",'Mapa final'!#REF!="Menor"),CONCATENATE("R",'Mapa final'!#REF!),"")</f>
        <v>#REF!</v>
      </c>
      <c r="Q6" s="289"/>
      <c r="R6" s="289" t="str">
        <f>IF(AND('Mapa final'!$L$13="Muy Alta",'Mapa final'!$P$13="Menor"),CONCATENATE("R",'Mapa final'!$A$13),"")</f>
        <v/>
      </c>
      <c r="S6" s="289"/>
      <c r="T6" s="289" t="e">
        <f>IF(AND('Mapa final'!#REF!="Muy Alta",'Mapa final'!#REF!="Menor"),CONCATENATE("R",'Mapa final'!#REF!),"")</f>
        <v>#REF!</v>
      </c>
      <c r="U6" s="290"/>
      <c r="V6" s="288" t="e">
        <f>IF(AND('Mapa final'!#REF!="Muy Alta",'Mapa final'!#REF!="Moderado"),CONCATENATE("R",'Mapa final'!#REF!),"")</f>
        <v>#REF!</v>
      </c>
      <c r="W6" s="289"/>
      <c r="X6" s="289" t="str">
        <f>IF(AND('Mapa final'!$L$13="Muy Alta",'Mapa final'!$P$13="Moderado"),CONCATENATE("R",'Mapa final'!$A$13),"")</f>
        <v/>
      </c>
      <c r="Y6" s="289"/>
      <c r="Z6" s="289" t="e">
        <f>IF(AND('Mapa final'!#REF!="Muy Alta",'Mapa final'!#REF!="Moderado"),CONCATENATE("R",'Mapa final'!#REF!),"")</f>
        <v>#REF!</v>
      </c>
      <c r="AA6" s="290"/>
      <c r="AB6" s="288" t="e">
        <f>IF(AND('Mapa final'!#REF!="Muy Alta",'Mapa final'!#REF!="Mayor"),CONCATENATE("R",'Mapa final'!#REF!),"")</f>
        <v>#REF!</v>
      </c>
      <c r="AC6" s="289"/>
      <c r="AD6" s="289" t="str">
        <f>IF(AND('Mapa final'!$L$13="Muy Alta",'Mapa final'!$P$13="Mayor"),CONCATENATE("R",'Mapa final'!$A$13),"")</f>
        <v/>
      </c>
      <c r="AE6" s="289"/>
      <c r="AF6" s="289" t="e">
        <f>IF(AND('Mapa final'!#REF!="Muy Alta",'Mapa final'!#REF!="Mayor"),CONCATENATE("R",'Mapa final'!#REF!),"")</f>
        <v>#REF!</v>
      </c>
      <c r="AG6" s="290"/>
      <c r="AH6" s="279" t="e">
        <f>IF(AND('Mapa final'!#REF!="Muy Alta",'Mapa final'!#REF!="Catastrófico"),CONCATENATE("R",'Mapa final'!#REF!),"")</f>
        <v>#REF!</v>
      </c>
      <c r="AI6" s="280"/>
      <c r="AJ6" s="280" t="str">
        <f>IF(AND('Mapa final'!$L$13="Muy Alta",'Mapa final'!$P$13="Catastrófico"),CONCATENATE("R",'Mapa final'!$A$13),"")</f>
        <v/>
      </c>
      <c r="AK6" s="280"/>
      <c r="AL6" s="280" t="e">
        <f>IF(AND('Mapa final'!#REF!="Muy Alta",'Mapa final'!#REF!="Catastrófico"),CONCATENATE("R",'Mapa final'!#REF!),"")</f>
        <v>#REF!</v>
      </c>
      <c r="AM6" s="281"/>
      <c r="AO6" s="304" t="s">
        <v>78</v>
      </c>
      <c r="AP6" s="305"/>
      <c r="AQ6" s="305"/>
      <c r="AR6" s="305"/>
      <c r="AS6" s="305"/>
      <c r="AT6" s="306"/>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row>
    <row r="7" spans="1:99" ht="15" customHeight="1" x14ac:dyDescent="0.25">
      <c r="A7" s="69"/>
      <c r="B7" s="302"/>
      <c r="C7" s="302"/>
      <c r="D7" s="303"/>
      <c r="E7" s="295"/>
      <c r="F7" s="296"/>
      <c r="G7" s="296"/>
      <c r="H7" s="296"/>
      <c r="I7" s="297"/>
      <c r="J7" s="282"/>
      <c r="K7" s="283"/>
      <c r="L7" s="283"/>
      <c r="M7" s="283"/>
      <c r="N7" s="283"/>
      <c r="O7" s="284"/>
      <c r="P7" s="282"/>
      <c r="Q7" s="283"/>
      <c r="R7" s="283"/>
      <c r="S7" s="283"/>
      <c r="T7" s="283"/>
      <c r="U7" s="284"/>
      <c r="V7" s="282"/>
      <c r="W7" s="283"/>
      <c r="X7" s="283"/>
      <c r="Y7" s="283"/>
      <c r="Z7" s="283"/>
      <c r="AA7" s="284"/>
      <c r="AB7" s="282"/>
      <c r="AC7" s="283"/>
      <c r="AD7" s="283"/>
      <c r="AE7" s="283"/>
      <c r="AF7" s="283"/>
      <c r="AG7" s="284"/>
      <c r="AH7" s="273"/>
      <c r="AI7" s="274"/>
      <c r="AJ7" s="274"/>
      <c r="AK7" s="274"/>
      <c r="AL7" s="274"/>
      <c r="AM7" s="275"/>
      <c r="AN7" s="69"/>
      <c r="AO7" s="307"/>
      <c r="AP7" s="308"/>
      <c r="AQ7" s="308"/>
      <c r="AR7" s="308"/>
      <c r="AS7" s="308"/>
      <c r="AT7" s="30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row>
    <row r="8" spans="1:99" ht="15" customHeight="1" x14ac:dyDescent="0.25">
      <c r="A8" s="69"/>
      <c r="B8" s="302"/>
      <c r="C8" s="302"/>
      <c r="D8" s="303"/>
      <c r="E8" s="295"/>
      <c r="F8" s="296"/>
      <c r="G8" s="296"/>
      <c r="H8" s="296"/>
      <c r="I8" s="297"/>
      <c r="J8" s="282" t="e">
        <f>IF(AND('Mapa final'!#REF!="Muy Alta",'Mapa final'!#REF!="Leve"),CONCATENATE("R",'Mapa final'!#REF!),"")</f>
        <v>#REF!</v>
      </c>
      <c r="K8" s="283"/>
      <c r="L8" s="283" t="e">
        <f>IF(AND('Mapa final'!#REF!="Muy Alta",'Mapa final'!#REF!="Leve"),CONCATENATE("R",'Mapa final'!#REF!),"")</f>
        <v>#REF!</v>
      </c>
      <c r="M8" s="283"/>
      <c r="N8" s="283" t="e">
        <f>IF(AND('Mapa final'!#REF!="Muy Alta",'Mapa final'!#REF!="Leve"),CONCATENATE("R",'Mapa final'!#REF!),"")</f>
        <v>#REF!</v>
      </c>
      <c r="O8" s="284"/>
      <c r="P8" s="282" t="e">
        <f>IF(AND('Mapa final'!#REF!="Muy Alta",'Mapa final'!#REF!="Menor"),CONCATENATE("R",'Mapa final'!#REF!),"")</f>
        <v>#REF!</v>
      </c>
      <c r="Q8" s="283"/>
      <c r="R8" s="283" t="e">
        <f>IF(AND('Mapa final'!#REF!="Muy Alta",'Mapa final'!#REF!="Menor"),CONCATENATE("R",'Mapa final'!#REF!),"")</f>
        <v>#REF!</v>
      </c>
      <c r="S8" s="283"/>
      <c r="T8" s="283" t="e">
        <f>IF(AND('Mapa final'!#REF!="Muy Alta",'Mapa final'!#REF!="Menor"),CONCATENATE("R",'Mapa final'!#REF!),"")</f>
        <v>#REF!</v>
      </c>
      <c r="U8" s="284"/>
      <c r="V8" s="282" t="e">
        <f>IF(AND('Mapa final'!#REF!="Muy Alta",'Mapa final'!#REF!="Moderado"),CONCATENATE("R",'Mapa final'!#REF!),"")</f>
        <v>#REF!</v>
      </c>
      <c r="W8" s="283"/>
      <c r="X8" s="283" t="e">
        <f>IF(AND('Mapa final'!#REF!="Muy Alta",'Mapa final'!#REF!="Moderado"),CONCATENATE("R",'Mapa final'!#REF!),"")</f>
        <v>#REF!</v>
      </c>
      <c r="Y8" s="283"/>
      <c r="Z8" s="283" t="e">
        <f>IF(AND('Mapa final'!#REF!="Muy Alta",'Mapa final'!#REF!="Moderado"),CONCATENATE("R",'Mapa final'!#REF!),"")</f>
        <v>#REF!</v>
      </c>
      <c r="AA8" s="284"/>
      <c r="AB8" s="282" t="e">
        <f>IF(AND('Mapa final'!#REF!="Muy Alta",'Mapa final'!#REF!="Mayor"),CONCATENATE("R",'Mapa final'!#REF!),"")</f>
        <v>#REF!</v>
      </c>
      <c r="AC8" s="283"/>
      <c r="AD8" s="283" t="e">
        <f>IF(AND('Mapa final'!#REF!="Muy Alta",'Mapa final'!#REF!="Mayor"),CONCATENATE("R",'Mapa final'!#REF!),"")</f>
        <v>#REF!</v>
      </c>
      <c r="AE8" s="283"/>
      <c r="AF8" s="283" t="e">
        <f>IF(AND('Mapa final'!#REF!="Muy Alta",'Mapa final'!#REF!="Mayor"),CONCATENATE("R",'Mapa final'!#REF!),"")</f>
        <v>#REF!</v>
      </c>
      <c r="AG8" s="284"/>
      <c r="AH8" s="273" t="e">
        <f>IF(AND('Mapa final'!#REF!="Muy Alta",'Mapa final'!#REF!="Catastrófico"),CONCATENATE("R",'Mapa final'!#REF!),"")</f>
        <v>#REF!</v>
      </c>
      <c r="AI8" s="274"/>
      <c r="AJ8" s="274" t="e">
        <f>IF(AND('Mapa final'!#REF!="Muy Alta",'Mapa final'!#REF!="Catastrófico"),CONCATENATE("R",'Mapa final'!#REF!),"")</f>
        <v>#REF!</v>
      </c>
      <c r="AK8" s="274"/>
      <c r="AL8" s="274" t="e">
        <f>IF(AND('Mapa final'!#REF!="Muy Alta",'Mapa final'!#REF!="Catastrófico"),CONCATENATE("R",'Mapa final'!#REF!),"")</f>
        <v>#REF!</v>
      </c>
      <c r="AM8" s="275"/>
      <c r="AN8" s="69"/>
      <c r="AO8" s="307"/>
      <c r="AP8" s="308"/>
      <c r="AQ8" s="308"/>
      <c r="AR8" s="308"/>
      <c r="AS8" s="308"/>
      <c r="AT8" s="30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row>
    <row r="9" spans="1:99" ht="15" customHeight="1" x14ac:dyDescent="0.25">
      <c r="A9" s="69"/>
      <c r="B9" s="302"/>
      <c r="C9" s="302"/>
      <c r="D9" s="303"/>
      <c r="E9" s="295"/>
      <c r="F9" s="296"/>
      <c r="G9" s="296"/>
      <c r="H9" s="296"/>
      <c r="I9" s="297"/>
      <c r="J9" s="282"/>
      <c r="K9" s="283"/>
      <c r="L9" s="283"/>
      <c r="M9" s="283"/>
      <c r="N9" s="283"/>
      <c r="O9" s="284"/>
      <c r="P9" s="282"/>
      <c r="Q9" s="283"/>
      <c r="R9" s="283"/>
      <c r="S9" s="283"/>
      <c r="T9" s="283"/>
      <c r="U9" s="284"/>
      <c r="V9" s="282"/>
      <c r="W9" s="283"/>
      <c r="X9" s="283"/>
      <c r="Y9" s="283"/>
      <c r="Z9" s="283"/>
      <c r="AA9" s="284"/>
      <c r="AB9" s="282"/>
      <c r="AC9" s="283"/>
      <c r="AD9" s="283"/>
      <c r="AE9" s="283"/>
      <c r="AF9" s="283"/>
      <c r="AG9" s="284"/>
      <c r="AH9" s="273"/>
      <c r="AI9" s="274"/>
      <c r="AJ9" s="274"/>
      <c r="AK9" s="274"/>
      <c r="AL9" s="274"/>
      <c r="AM9" s="275"/>
      <c r="AN9" s="69"/>
      <c r="AO9" s="307"/>
      <c r="AP9" s="308"/>
      <c r="AQ9" s="308"/>
      <c r="AR9" s="308"/>
      <c r="AS9" s="308"/>
      <c r="AT9" s="30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row>
    <row r="10" spans="1:99" ht="15" customHeight="1" x14ac:dyDescent="0.25">
      <c r="A10" s="69"/>
      <c r="B10" s="302"/>
      <c r="C10" s="302"/>
      <c r="D10" s="303"/>
      <c r="E10" s="295"/>
      <c r="F10" s="296"/>
      <c r="G10" s="296"/>
      <c r="H10" s="296"/>
      <c r="I10" s="297"/>
      <c r="J10" s="282" t="e">
        <f>IF(AND('Mapa final'!#REF!="Muy Alta",'Mapa final'!#REF!="Leve"),CONCATENATE("R",'Mapa final'!#REF!),"")</f>
        <v>#REF!</v>
      </c>
      <c r="K10" s="283"/>
      <c r="L10" s="283" t="e">
        <f>IF(AND('Mapa final'!#REF!="Muy Alta",'Mapa final'!#REF!="Leve"),CONCATENATE("R",'Mapa final'!#REF!),"")</f>
        <v>#REF!</v>
      </c>
      <c r="M10" s="283"/>
      <c r="N10" s="283" t="e">
        <f>IF(AND('Mapa final'!#REF!="Muy Alta",'Mapa final'!#REF!="Leve"),CONCATENATE("R",'Mapa final'!#REF!),"")</f>
        <v>#REF!</v>
      </c>
      <c r="O10" s="284"/>
      <c r="P10" s="282" t="e">
        <f>IF(AND('Mapa final'!#REF!="Muy Alta",'Mapa final'!#REF!="Menor"),CONCATENATE("R",'Mapa final'!#REF!),"")</f>
        <v>#REF!</v>
      </c>
      <c r="Q10" s="283"/>
      <c r="R10" s="283" t="e">
        <f>IF(AND('Mapa final'!#REF!="Muy Alta",'Mapa final'!#REF!="Menor"),CONCATENATE("R",'Mapa final'!#REF!),"")</f>
        <v>#REF!</v>
      </c>
      <c r="S10" s="283"/>
      <c r="T10" s="283" t="e">
        <f>IF(AND('Mapa final'!#REF!="Muy Alta",'Mapa final'!#REF!="Menor"),CONCATENATE("R",'Mapa final'!#REF!),"")</f>
        <v>#REF!</v>
      </c>
      <c r="U10" s="284"/>
      <c r="V10" s="282" t="e">
        <f>IF(AND('Mapa final'!#REF!="Muy Alta",'Mapa final'!#REF!="Moderado"),CONCATENATE("R",'Mapa final'!#REF!),"")</f>
        <v>#REF!</v>
      </c>
      <c r="W10" s="283"/>
      <c r="X10" s="283" t="e">
        <f>IF(AND('Mapa final'!#REF!="Muy Alta",'Mapa final'!#REF!="Moderado"),CONCATENATE("R",'Mapa final'!#REF!),"")</f>
        <v>#REF!</v>
      </c>
      <c r="Y10" s="283"/>
      <c r="Z10" s="283" t="e">
        <f>IF(AND('Mapa final'!#REF!="Muy Alta",'Mapa final'!#REF!="Moderado"),CONCATENATE("R",'Mapa final'!#REF!),"")</f>
        <v>#REF!</v>
      </c>
      <c r="AA10" s="284"/>
      <c r="AB10" s="282" t="e">
        <f>IF(AND('Mapa final'!#REF!="Muy Alta",'Mapa final'!#REF!="Mayor"),CONCATENATE("R",'Mapa final'!#REF!),"")</f>
        <v>#REF!</v>
      </c>
      <c r="AC10" s="283"/>
      <c r="AD10" s="283" t="e">
        <f>IF(AND('Mapa final'!#REF!="Muy Alta",'Mapa final'!#REF!="Mayor"),CONCATENATE("R",'Mapa final'!#REF!),"")</f>
        <v>#REF!</v>
      </c>
      <c r="AE10" s="283"/>
      <c r="AF10" s="283" t="e">
        <f>IF(AND('Mapa final'!#REF!="Muy Alta",'Mapa final'!#REF!="Mayor"),CONCATENATE("R",'Mapa final'!#REF!),"")</f>
        <v>#REF!</v>
      </c>
      <c r="AG10" s="284"/>
      <c r="AH10" s="273" t="e">
        <f>IF(AND('Mapa final'!#REF!="Muy Alta",'Mapa final'!#REF!="Catastrófico"),CONCATENATE("R",'Mapa final'!#REF!),"")</f>
        <v>#REF!</v>
      </c>
      <c r="AI10" s="274"/>
      <c r="AJ10" s="274" t="e">
        <f>IF(AND('Mapa final'!#REF!="Muy Alta",'Mapa final'!#REF!="Catastrófico"),CONCATENATE("R",'Mapa final'!#REF!),"")</f>
        <v>#REF!</v>
      </c>
      <c r="AK10" s="274"/>
      <c r="AL10" s="274" t="e">
        <f>IF(AND('Mapa final'!#REF!="Muy Alta",'Mapa final'!#REF!="Catastrófico"),CONCATENATE("R",'Mapa final'!#REF!),"")</f>
        <v>#REF!</v>
      </c>
      <c r="AM10" s="275"/>
      <c r="AN10" s="69"/>
      <c r="AO10" s="307"/>
      <c r="AP10" s="308"/>
      <c r="AQ10" s="308"/>
      <c r="AR10" s="308"/>
      <c r="AS10" s="308"/>
      <c r="AT10" s="30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row>
    <row r="11" spans="1:99" ht="15" customHeight="1" x14ac:dyDescent="0.25">
      <c r="A11" s="69"/>
      <c r="B11" s="302"/>
      <c r="C11" s="302"/>
      <c r="D11" s="303"/>
      <c r="E11" s="295"/>
      <c r="F11" s="296"/>
      <c r="G11" s="296"/>
      <c r="H11" s="296"/>
      <c r="I11" s="297"/>
      <c r="J11" s="282"/>
      <c r="K11" s="283"/>
      <c r="L11" s="283"/>
      <c r="M11" s="283"/>
      <c r="N11" s="283"/>
      <c r="O11" s="284"/>
      <c r="P11" s="282"/>
      <c r="Q11" s="283"/>
      <c r="R11" s="283"/>
      <c r="S11" s="283"/>
      <c r="T11" s="283"/>
      <c r="U11" s="284"/>
      <c r="V11" s="282"/>
      <c r="W11" s="283"/>
      <c r="X11" s="283"/>
      <c r="Y11" s="283"/>
      <c r="Z11" s="283"/>
      <c r="AA11" s="284"/>
      <c r="AB11" s="282"/>
      <c r="AC11" s="283"/>
      <c r="AD11" s="283"/>
      <c r="AE11" s="283"/>
      <c r="AF11" s="283"/>
      <c r="AG11" s="284"/>
      <c r="AH11" s="273"/>
      <c r="AI11" s="274"/>
      <c r="AJ11" s="274"/>
      <c r="AK11" s="274"/>
      <c r="AL11" s="274"/>
      <c r="AM11" s="275"/>
      <c r="AN11" s="69"/>
      <c r="AO11" s="307"/>
      <c r="AP11" s="308"/>
      <c r="AQ11" s="308"/>
      <c r="AR11" s="308"/>
      <c r="AS11" s="308"/>
      <c r="AT11" s="30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row>
    <row r="12" spans="1:99" ht="15" customHeight="1" x14ac:dyDescent="0.25">
      <c r="A12" s="69"/>
      <c r="B12" s="302"/>
      <c r="C12" s="302"/>
      <c r="D12" s="303"/>
      <c r="E12" s="295"/>
      <c r="F12" s="296"/>
      <c r="G12" s="296"/>
      <c r="H12" s="296"/>
      <c r="I12" s="297"/>
      <c r="J12" s="282" t="e">
        <f>IF(AND('Mapa final'!#REF!="Muy Alta",'Mapa final'!#REF!="Leve"),CONCATENATE("R",'Mapa final'!#REF!),"")</f>
        <v>#REF!</v>
      </c>
      <c r="K12" s="283"/>
      <c r="L12" s="283" t="str">
        <f>IF(AND('Mapa final'!$L$26="Muy Alta",'Mapa final'!$P$26="Leve"),CONCATENATE("R",'Mapa final'!$A$26),"")</f>
        <v/>
      </c>
      <c r="M12" s="283"/>
      <c r="N12" s="283" t="str">
        <f>IF(AND('Mapa final'!$L$28="Muy Alta",'Mapa final'!$P$28="Leve"),CONCATENATE("R",'Mapa final'!$A$28),"")</f>
        <v/>
      </c>
      <c r="O12" s="284"/>
      <c r="P12" s="282" t="e">
        <f>IF(AND('Mapa final'!#REF!="Muy Alta",'Mapa final'!#REF!="Menor"),CONCATENATE("R",'Mapa final'!#REF!),"")</f>
        <v>#REF!</v>
      </c>
      <c r="Q12" s="283"/>
      <c r="R12" s="283" t="str">
        <f>IF(AND('Mapa final'!$L$26="Muy Alta",'Mapa final'!$P$26="Menor"),CONCATENATE("R",'Mapa final'!$A$26),"")</f>
        <v/>
      </c>
      <c r="S12" s="283"/>
      <c r="T12" s="283" t="str">
        <f>IF(AND('Mapa final'!$L$28="Muy Alta",'Mapa final'!$P$28="Menor"),CONCATENATE("R",'Mapa final'!$A$28),"")</f>
        <v/>
      </c>
      <c r="U12" s="284"/>
      <c r="V12" s="282" t="e">
        <f>IF(AND('Mapa final'!#REF!="Muy Alta",'Mapa final'!#REF!="Moderado"),CONCATENATE("R",'Mapa final'!#REF!),"")</f>
        <v>#REF!</v>
      </c>
      <c r="W12" s="283"/>
      <c r="X12" s="283" t="str">
        <f>IF(AND('Mapa final'!$L$26="Muy Alta",'Mapa final'!$P$26="Moderado"),CONCATENATE("R",'Mapa final'!$A$26),"")</f>
        <v/>
      </c>
      <c r="Y12" s="283"/>
      <c r="Z12" s="283" t="str">
        <f>IF(AND('Mapa final'!$L$28="Muy Alta",'Mapa final'!$P$28="Moderado"),CONCATENATE("R",'Mapa final'!$A$28),"")</f>
        <v/>
      </c>
      <c r="AA12" s="284"/>
      <c r="AB12" s="282" t="e">
        <f>IF(AND('Mapa final'!#REF!="Muy Alta",'Mapa final'!#REF!="Mayor"),CONCATENATE("R",'Mapa final'!#REF!),"")</f>
        <v>#REF!</v>
      </c>
      <c r="AC12" s="283"/>
      <c r="AD12" s="283" t="str">
        <f>IF(AND('Mapa final'!$L$26="Muy Alta",'Mapa final'!$P$26="Mayor"),CONCATENATE("R",'Mapa final'!$A$26),"")</f>
        <v/>
      </c>
      <c r="AE12" s="283"/>
      <c r="AF12" s="283" t="str">
        <f>IF(AND('Mapa final'!$L$28="Muy Alta",'Mapa final'!$P$28="Mayor"),CONCATENATE("R",'Mapa final'!$A$28),"")</f>
        <v/>
      </c>
      <c r="AG12" s="284"/>
      <c r="AH12" s="273" t="e">
        <f>IF(AND('Mapa final'!#REF!="Muy Alta",'Mapa final'!#REF!="Catastrófico"),CONCATENATE("R",'Mapa final'!#REF!),"")</f>
        <v>#REF!</v>
      </c>
      <c r="AI12" s="274"/>
      <c r="AJ12" s="274" t="str">
        <f>IF(AND('Mapa final'!$L$26="Muy Alta",'Mapa final'!$P$26="Catastrófico"),CONCATENATE("R",'Mapa final'!$A$26),"")</f>
        <v/>
      </c>
      <c r="AK12" s="274"/>
      <c r="AL12" s="274" t="str">
        <f>IF(AND('Mapa final'!$L$28="Muy Alta",'Mapa final'!$P$28="Catastrófico"),CONCATENATE("R",'Mapa final'!$A$28),"")</f>
        <v/>
      </c>
      <c r="AM12" s="275"/>
      <c r="AN12" s="69"/>
      <c r="AO12" s="307"/>
      <c r="AP12" s="308"/>
      <c r="AQ12" s="308"/>
      <c r="AR12" s="308"/>
      <c r="AS12" s="308"/>
      <c r="AT12" s="30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row>
    <row r="13" spans="1:99" ht="15.75" customHeight="1" thickBot="1" x14ac:dyDescent="0.3">
      <c r="A13" s="69"/>
      <c r="B13" s="302"/>
      <c r="C13" s="302"/>
      <c r="D13" s="303"/>
      <c r="E13" s="298"/>
      <c r="F13" s="299"/>
      <c r="G13" s="299"/>
      <c r="H13" s="299"/>
      <c r="I13" s="300"/>
      <c r="J13" s="282"/>
      <c r="K13" s="283"/>
      <c r="L13" s="283"/>
      <c r="M13" s="283"/>
      <c r="N13" s="283"/>
      <c r="O13" s="284"/>
      <c r="P13" s="282"/>
      <c r="Q13" s="283"/>
      <c r="R13" s="283"/>
      <c r="S13" s="283"/>
      <c r="T13" s="283"/>
      <c r="U13" s="284"/>
      <c r="V13" s="282"/>
      <c r="W13" s="283"/>
      <c r="X13" s="283"/>
      <c r="Y13" s="283"/>
      <c r="Z13" s="283"/>
      <c r="AA13" s="284"/>
      <c r="AB13" s="282"/>
      <c r="AC13" s="283"/>
      <c r="AD13" s="283"/>
      <c r="AE13" s="283"/>
      <c r="AF13" s="283"/>
      <c r="AG13" s="284"/>
      <c r="AH13" s="276"/>
      <c r="AI13" s="277"/>
      <c r="AJ13" s="277"/>
      <c r="AK13" s="277"/>
      <c r="AL13" s="277"/>
      <c r="AM13" s="278"/>
      <c r="AN13" s="69"/>
      <c r="AO13" s="310"/>
      <c r="AP13" s="311"/>
      <c r="AQ13" s="311"/>
      <c r="AR13" s="311"/>
      <c r="AS13" s="311"/>
      <c r="AT13" s="312"/>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row>
    <row r="14" spans="1:99" ht="15" customHeight="1" x14ac:dyDescent="0.25">
      <c r="A14" s="69"/>
      <c r="B14" s="302"/>
      <c r="C14" s="302"/>
      <c r="D14" s="303"/>
      <c r="E14" s="292" t="s">
        <v>114</v>
      </c>
      <c r="F14" s="293"/>
      <c r="G14" s="293"/>
      <c r="H14" s="293"/>
      <c r="I14" s="293"/>
      <c r="J14" s="270" t="e">
        <f>IF(AND('Mapa final'!#REF!="Alta",'Mapa final'!#REF!="Leve"),CONCATENATE("R",'Mapa final'!#REF!),"")</f>
        <v>#REF!</v>
      </c>
      <c r="K14" s="271"/>
      <c r="L14" s="271" t="str">
        <f>IF(AND('Mapa final'!$L$13="Alta",'Mapa final'!$P$13="Leve"),CONCATENATE("R",'Mapa final'!$A$13),"")</f>
        <v/>
      </c>
      <c r="M14" s="271"/>
      <c r="N14" s="271" t="e">
        <f>IF(AND('Mapa final'!#REF!="Alta",'Mapa final'!#REF!="Leve"),CONCATENATE("R",'Mapa final'!#REF!),"")</f>
        <v>#REF!</v>
      </c>
      <c r="O14" s="272"/>
      <c r="P14" s="270" t="e">
        <f>IF(AND('Mapa final'!#REF!="Alta",'Mapa final'!#REF!="Menor"),CONCATENATE("R",'Mapa final'!#REF!),"")</f>
        <v>#REF!</v>
      </c>
      <c r="Q14" s="271"/>
      <c r="R14" s="271" t="str">
        <f>IF(AND('Mapa final'!$L$13="Alta",'Mapa final'!$P$13="Menor"),CONCATENATE("R",'Mapa final'!$A$13),"")</f>
        <v/>
      </c>
      <c r="S14" s="271"/>
      <c r="T14" s="271" t="e">
        <f>IF(AND('Mapa final'!#REF!="Alta",'Mapa final'!#REF!="Menor"),CONCATENATE("R",'Mapa final'!#REF!),"")</f>
        <v>#REF!</v>
      </c>
      <c r="U14" s="272"/>
      <c r="V14" s="288" t="e">
        <f>IF(AND('Mapa final'!#REF!="Alta",'Mapa final'!#REF!="Moderado"),CONCATENATE("R",'Mapa final'!#REF!),"")</f>
        <v>#REF!</v>
      </c>
      <c r="W14" s="289"/>
      <c r="X14" s="289" t="str">
        <f>IF(AND('Mapa final'!$L$13="Alta",'Mapa final'!$P$13="Moderado"),CONCATENATE("R",'Mapa final'!$A$13),"")</f>
        <v/>
      </c>
      <c r="Y14" s="289"/>
      <c r="Z14" s="289" t="e">
        <f>IF(AND('Mapa final'!#REF!="Alta",'Mapa final'!#REF!="Moderado"),CONCATENATE("R",'Mapa final'!#REF!),"")</f>
        <v>#REF!</v>
      </c>
      <c r="AA14" s="290"/>
      <c r="AB14" s="288" t="e">
        <f>IF(AND('Mapa final'!#REF!="Alta",'Mapa final'!#REF!="Mayor"),CONCATENATE("R",'Mapa final'!#REF!),"")</f>
        <v>#REF!</v>
      </c>
      <c r="AC14" s="289"/>
      <c r="AD14" s="289" t="str">
        <f>IF(AND('Mapa final'!$L$13="Alta",'Mapa final'!$P$13="Mayor"),CONCATENATE("R",'Mapa final'!$A$13),"")</f>
        <v/>
      </c>
      <c r="AE14" s="289"/>
      <c r="AF14" s="289" t="e">
        <f>IF(AND('Mapa final'!#REF!="Alta",'Mapa final'!#REF!="Mayor"),CONCATENATE("R",'Mapa final'!#REF!),"")</f>
        <v>#REF!</v>
      </c>
      <c r="AG14" s="290"/>
      <c r="AH14" s="279" t="e">
        <f>IF(AND('Mapa final'!#REF!="Alta",'Mapa final'!#REF!="Catastrófico"),CONCATENATE("R",'Mapa final'!#REF!),"")</f>
        <v>#REF!</v>
      </c>
      <c r="AI14" s="280"/>
      <c r="AJ14" s="280" t="str">
        <f>IF(AND('Mapa final'!$L$13="Alta",'Mapa final'!$P$13="Catastrófico"),CONCATENATE("R",'Mapa final'!$A$13),"")</f>
        <v/>
      </c>
      <c r="AK14" s="280"/>
      <c r="AL14" s="280" t="e">
        <f>IF(AND('Mapa final'!#REF!="Alta",'Mapa final'!#REF!="Catastrófico"),CONCATENATE("R",'Mapa final'!#REF!),"")</f>
        <v>#REF!</v>
      </c>
      <c r="AM14" s="281"/>
      <c r="AN14" s="69"/>
      <c r="AO14" s="313" t="s">
        <v>79</v>
      </c>
      <c r="AP14" s="314"/>
      <c r="AQ14" s="314"/>
      <c r="AR14" s="314"/>
      <c r="AS14" s="314"/>
      <c r="AT14" s="315"/>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row>
    <row r="15" spans="1:99" ht="15" customHeight="1" x14ac:dyDescent="0.25">
      <c r="A15" s="69"/>
      <c r="B15" s="302"/>
      <c r="C15" s="302"/>
      <c r="D15" s="303"/>
      <c r="E15" s="295"/>
      <c r="F15" s="296"/>
      <c r="G15" s="296"/>
      <c r="H15" s="296"/>
      <c r="I15" s="296"/>
      <c r="J15" s="264"/>
      <c r="K15" s="265"/>
      <c r="L15" s="265"/>
      <c r="M15" s="265"/>
      <c r="N15" s="265"/>
      <c r="O15" s="266"/>
      <c r="P15" s="264"/>
      <c r="Q15" s="265"/>
      <c r="R15" s="265"/>
      <c r="S15" s="265"/>
      <c r="T15" s="265"/>
      <c r="U15" s="266"/>
      <c r="V15" s="282"/>
      <c r="W15" s="283"/>
      <c r="X15" s="283"/>
      <c r="Y15" s="283"/>
      <c r="Z15" s="283"/>
      <c r="AA15" s="284"/>
      <c r="AB15" s="282"/>
      <c r="AC15" s="283"/>
      <c r="AD15" s="283"/>
      <c r="AE15" s="283"/>
      <c r="AF15" s="283"/>
      <c r="AG15" s="284"/>
      <c r="AH15" s="273"/>
      <c r="AI15" s="274"/>
      <c r="AJ15" s="274"/>
      <c r="AK15" s="274"/>
      <c r="AL15" s="274"/>
      <c r="AM15" s="275"/>
      <c r="AN15" s="69"/>
      <c r="AO15" s="316"/>
      <c r="AP15" s="317"/>
      <c r="AQ15" s="317"/>
      <c r="AR15" s="317"/>
      <c r="AS15" s="317"/>
      <c r="AT15" s="318"/>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row>
    <row r="16" spans="1:99" ht="15" customHeight="1" x14ac:dyDescent="0.25">
      <c r="A16" s="69"/>
      <c r="B16" s="302"/>
      <c r="C16" s="302"/>
      <c r="D16" s="303"/>
      <c r="E16" s="295"/>
      <c r="F16" s="296"/>
      <c r="G16" s="296"/>
      <c r="H16" s="296"/>
      <c r="I16" s="296"/>
      <c r="J16" s="264" t="e">
        <f>IF(AND('Mapa final'!#REF!="Alta",'Mapa final'!#REF!="Leve"),CONCATENATE("R",'Mapa final'!#REF!),"")</f>
        <v>#REF!</v>
      </c>
      <c r="K16" s="265"/>
      <c r="L16" s="265" t="e">
        <f>IF(AND('Mapa final'!#REF!="Alta",'Mapa final'!#REF!="Leve"),CONCATENATE("R",'Mapa final'!#REF!),"")</f>
        <v>#REF!</v>
      </c>
      <c r="M16" s="265"/>
      <c r="N16" s="265" t="e">
        <f>IF(AND('Mapa final'!#REF!="Alta",'Mapa final'!#REF!="Leve"),CONCATENATE("R",'Mapa final'!#REF!),"")</f>
        <v>#REF!</v>
      </c>
      <c r="O16" s="266"/>
      <c r="P16" s="264" t="e">
        <f>IF(AND('Mapa final'!#REF!="Alta",'Mapa final'!#REF!="Menor"),CONCATENATE("R",'Mapa final'!#REF!),"")</f>
        <v>#REF!</v>
      </c>
      <c r="Q16" s="265"/>
      <c r="R16" s="265" t="e">
        <f>IF(AND('Mapa final'!#REF!="Alta",'Mapa final'!#REF!="Menor"),CONCATENATE("R",'Mapa final'!#REF!),"")</f>
        <v>#REF!</v>
      </c>
      <c r="S16" s="265"/>
      <c r="T16" s="265" t="e">
        <f>IF(AND('Mapa final'!#REF!="Alta",'Mapa final'!#REF!="Menor"),CONCATENATE("R",'Mapa final'!#REF!),"")</f>
        <v>#REF!</v>
      </c>
      <c r="U16" s="266"/>
      <c r="V16" s="282" t="e">
        <f>IF(AND('Mapa final'!#REF!="Alta",'Mapa final'!#REF!="Moderado"),CONCATENATE("R",'Mapa final'!#REF!),"")</f>
        <v>#REF!</v>
      </c>
      <c r="W16" s="283"/>
      <c r="X16" s="283" t="e">
        <f>IF(AND('Mapa final'!#REF!="Alta",'Mapa final'!#REF!="Moderado"),CONCATENATE("R",'Mapa final'!#REF!),"")</f>
        <v>#REF!</v>
      </c>
      <c r="Y16" s="283"/>
      <c r="Z16" s="283" t="e">
        <f>IF(AND('Mapa final'!#REF!="Alta",'Mapa final'!#REF!="Moderado"),CONCATENATE("R",'Mapa final'!#REF!),"")</f>
        <v>#REF!</v>
      </c>
      <c r="AA16" s="284"/>
      <c r="AB16" s="282" t="e">
        <f>IF(AND('Mapa final'!#REF!="Alta",'Mapa final'!#REF!="Mayor"),CONCATENATE("R",'Mapa final'!#REF!),"")</f>
        <v>#REF!</v>
      </c>
      <c r="AC16" s="283"/>
      <c r="AD16" s="283" t="e">
        <f>IF(AND('Mapa final'!#REF!="Alta",'Mapa final'!#REF!="Mayor"),CONCATENATE("R",'Mapa final'!#REF!),"")</f>
        <v>#REF!</v>
      </c>
      <c r="AE16" s="283"/>
      <c r="AF16" s="283" t="e">
        <f>IF(AND('Mapa final'!#REF!="Alta",'Mapa final'!#REF!="Mayor"),CONCATENATE("R",'Mapa final'!#REF!),"")</f>
        <v>#REF!</v>
      </c>
      <c r="AG16" s="284"/>
      <c r="AH16" s="273" t="e">
        <f>IF(AND('Mapa final'!#REF!="Alta",'Mapa final'!#REF!="Catastrófico"),CONCATENATE("R",'Mapa final'!#REF!),"")</f>
        <v>#REF!</v>
      </c>
      <c r="AI16" s="274"/>
      <c r="AJ16" s="274" t="e">
        <f>IF(AND('Mapa final'!#REF!="Alta",'Mapa final'!#REF!="Catastrófico"),CONCATENATE("R",'Mapa final'!#REF!),"")</f>
        <v>#REF!</v>
      </c>
      <c r="AK16" s="274"/>
      <c r="AL16" s="274" t="e">
        <f>IF(AND('Mapa final'!#REF!="Alta",'Mapa final'!#REF!="Catastrófico"),CONCATENATE("R",'Mapa final'!#REF!),"")</f>
        <v>#REF!</v>
      </c>
      <c r="AM16" s="275"/>
      <c r="AN16" s="69"/>
      <c r="AO16" s="316"/>
      <c r="AP16" s="317"/>
      <c r="AQ16" s="317"/>
      <c r="AR16" s="317"/>
      <c r="AS16" s="317"/>
      <c r="AT16" s="318"/>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row>
    <row r="17" spans="1:80" ht="15" customHeight="1" x14ac:dyDescent="0.25">
      <c r="A17" s="69"/>
      <c r="B17" s="302"/>
      <c r="C17" s="302"/>
      <c r="D17" s="303"/>
      <c r="E17" s="295"/>
      <c r="F17" s="296"/>
      <c r="G17" s="296"/>
      <c r="H17" s="296"/>
      <c r="I17" s="296"/>
      <c r="J17" s="264"/>
      <c r="K17" s="265"/>
      <c r="L17" s="265"/>
      <c r="M17" s="265"/>
      <c r="N17" s="265"/>
      <c r="O17" s="266"/>
      <c r="P17" s="264"/>
      <c r="Q17" s="265"/>
      <c r="R17" s="265"/>
      <c r="S17" s="265"/>
      <c r="T17" s="265"/>
      <c r="U17" s="266"/>
      <c r="V17" s="282"/>
      <c r="W17" s="283"/>
      <c r="X17" s="283"/>
      <c r="Y17" s="283"/>
      <c r="Z17" s="283"/>
      <c r="AA17" s="284"/>
      <c r="AB17" s="282"/>
      <c r="AC17" s="283"/>
      <c r="AD17" s="283"/>
      <c r="AE17" s="283"/>
      <c r="AF17" s="283"/>
      <c r="AG17" s="284"/>
      <c r="AH17" s="273"/>
      <c r="AI17" s="274"/>
      <c r="AJ17" s="274"/>
      <c r="AK17" s="274"/>
      <c r="AL17" s="274"/>
      <c r="AM17" s="275"/>
      <c r="AN17" s="69"/>
      <c r="AO17" s="316"/>
      <c r="AP17" s="317"/>
      <c r="AQ17" s="317"/>
      <c r="AR17" s="317"/>
      <c r="AS17" s="317"/>
      <c r="AT17" s="318"/>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row>
    <row r="18" spans="1:80" ht="15" customHeight="1" x14ac:dyDescent="0.25">
      <c r="A18" s="69"/>
      <c r="B18" s="302"/>
      <c r="C18" s="302"/>
      <c r="D18" s="303"/>
      <c r="E18" s="295"/>
      <c r="F18" s="296"/>
      <c r="G18" s="296"/>
      <c r="H18" s="296"/>
      <c r="I18" s="296"/>
      <c r="J18" s="264" t="e">
        <f>IF(AND('Mapa final'!#REF!="Alta",'Mapa final'!#REF!="Leve"),CONCATENATE("R",'Mapa final'!#REF!),"")</f>
        <v>#REF!</v>
      </c>
      <c r="K18" s="265"/>
      <c r="L18" s="265" t="e">
        <f>IF(AND('Mapa final'!#REF!="Alta",'Mapa final'!#REF!="Leve"),CONCATENATE("R",'Mapa final'!#REF!),"")</f>
        <v>#REF!</v>
      </c>
      <c r="M18" s="265"/>
      <c r="N18" s="265" t="e">
        <f>IF(AND('Mapa final'!#REF!="Alta",'Mapa final'!#REF!="Leve"),CONCATENATE("R",'Mapa final'!#REF!),"")</f>
        <v>#REF!</v>
      </c>
      <c r="O18" s="266"/>
      <c r="P18" s="264" t="e">
        <f>IF(AND('Mapa final'!#REF!="Alta",'Mapa final'!#REF!="Menor"),CONCATENATE("R",'Mapa final'!#REF!),"")</f>
        <v>#REF!</v>
      </c>
      <c r="Q18" s="265"/>
      <c r="R18" s="265" t="e">
        <f>IF(AND('Mapa final'!#REF!="Alta",'Mapa final'!#REF!="Menor"),CONCATENATE("R",'Mapa final'!#REF!),"")</f>
        <v>#REF!</v>
      </c>
      <c r="S18" s="265"/>
      <c r="T18" s="265" t="e">
        <f>IF(AND('Mapa final'!#REF!="Alta",'Mapa final'!#REF!="Menor"),CONCATENATE("R",'Mapa final'!#REF!),"")</f>
        <v>#REF!</v>
      </c>
      <c r="U18" s="266"/>
      <c r="V18" s="282" t="e">
        <f>IF(AND('Mapa final'!#REF!="Alta",'Mapa final'!#REF!="Moderado"),CONCATENATE("R",'Mapa final'!#REF!),"")</f>
        <v>#REF!</v>
      </c>
      <c r="W18" s="283"/>
      <c r="X18" s="283" t="e">
        <f>IF(AND('Mapa final'!#REF!="Alta",'Mapa final'!#REF!="Moderado"),CONCATENATE("R",'Mapa final'!#REF!),"")</f>
        <v>#REF!</v>
      </c>
      <c r="Y18" s="283"/>
      <c r="Z18" s="283" t="e">
        <f>IF(AND('Mapa final'!#REF!="Alta",'Mapa final'!#REF!="Moderado"),CONCATENATE("R",'Mapa final'!#REF!),"")</f>
        <v>#REF!</v>
      </c>
      <c r="AA18" s="284"/>
      <c r="AB18" s="282" t="e">
        <f>IF(AND('Mapa final'!#REF!="Alta",'Mapa final'!#REF!="Mayor"),CONCATENATE("R",'Mapa final'!#REF!),"")</f>
        <v>#REF!</v>
      </c>
      <c r="AC18" s="283"/>
      <c r="AD18" s="283" t="e">
        <f>IF(AND('Mapa final'!#REF!="Alta",'Mapa final'!#REF!="Mayor"),CONCATENATE("R",'Mapa final'!#REF!),"")</f>
        <v>#REF!</v>
      </c>
      <c r="AE18" s="283"/>
      <c r="AF18" s="283" t="e">
        <f>IF(AND('Mapa final'!#REF!="Alta",'Mapa final'!#REF!="Mayor"),CONCATENATE("R",'Mapa final'!#REF!),"")</f>
        <v>#REF!</v>
      </c>
      <c r="AG18" s="284"/>
      <c r="AH18" s="273" t="e">
        <f>IF(AND('Mapa final'!#REF!="Alta",'Mapa final'!#REF!="Catastrófico"),CONCATENATE("R",'Mapa final'!#REF!),"")</f>
        <v>#REF!</v>
      </c>
      <c r="AI18" s="274"/>
      <c r="AJ18" s="274" t="e">
        <f>IF(AND('Mapa final'!#REF!="Alta",'Mapa final'!#REF!="Catastrófico"),CONCATENATE("R",'Mapa final'!#REF!),"")</f>
        <v>#REF!</v>
      </c>
      <c r="AK18" s="274"/>
      <c r="AL18" s="274" t="e">
        <f>IF(AND('Mapa final'!#REF!="Alta",'Mapa final'!#REF!="Catastrófico"),CONCATENATE("R",'Mapa final'!#REF!),"")</f>
        <v>#REF!</v>
      </c>
      <c r="AM18" s="275"/>
      <c r="AN18" s="69"/>
      <c r="AO18" s="316"/>
      <c r="AP18" s="317"/>
      <c r="AQ18" s="317"/>
      <c r="AR18" s="317"/>
      <c r="AS18" s="317"/>
      <c r="AT18" s="318"/>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row>
    <row r="19" spans="1:80" ht="15" customHeight="1" x14ac:dyDescent="0.25">
      <c r="A19" s="69"/>
      <c r="B19" s="302"/>
      <c r="C19" s="302"/>
      <c r="D19" s="303"/>
      <c r="E19" s="295"/>
      <c r="F19" s="296"/>
      <c r="G19" s="296"/>
      <c r="H19" s="296"/>
      <c r="I19" s="296"/>
      <c r="J19" s="264"/>
      <c r="K19" s="265"/>
      <c r="L19" s="265"/>
      <c r="M19" s="265"/>
      <c r="N19" s="265"/>
      <c r="O19" s="266"/>
      <c r="P19" s="264"/>
      <c r="Q19" s="265"/>
      <c r="R19" s="265"/>
      <c r="S19" s="265"/>
      <c r="T19" s="265"/>
      <c r="U19" s="266"/>
      <c r="V19" s="282"/>
      <c r="W19" s="283"/>
      <c r="X19" s="283"/>
      <c r="Y19" s="283"/>
      <c r="Z19" s="283"/>
      <c r="AA19" s="284"/>
      <c r="AB19" s="282"/>
      <c r="AC19" s="283"/>
      <c r="AD19" s="283"/>
      <c r="AE19" s="283"/>
      <c r="AF19" s="283"/>
      <c r="AG19" s="284"/>
      <c r="AH19" s="273"/>
      <c r="AI19" s="274"/>
      <c r="AJ19" s="274"/>
      <c r="AK19" s="274"/>
      <c r="AL19" s="274"/>
      <c r="AM19" s="275"/>
      <c r="AN19" s="69"/>
      <c r="AO19" s="316"/>
      <c r="AP19" s="317"/>
      <c r="AQ19" s="317"/>
      <c r="AR19" s="317"/>
      <c r="AS19" s="317"/>
      <c r="AT19" s="318"/>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row>
    <row r="20" spans="1:80" ht="15" customHeight="1" x14ac:dyDescent="0.25">
      <c r="A20" s="69"/>
      <c r="B20" s="302"/>
      <c r="C20" s="302"/>
      <c r="D20" s="303"/>
      <c r="E20" s="295"/>
      <c r="F20" s="296"/>
      <c r="G20" s="296"/>
      <c r="H20" s="296"/>
      <c r="I20" s="296"/>
      <c r="J20" s="264" t="e">
        <f>IF(AND('Mapa final'!#REF!="Alta",'Mapa final'!#REF!="Leve"),CONCATENATE("R",'Mapa final'!#REF!),"")</f>
        <v>#REF!</v>
      </c>
      <c r="K20" s="265"/>
      <c r="L20" s="265" t="str">
        <f>IF(AND('Mapa final'!$L$26="Alta",'Mapa final'!$P$26="Leve"),CONCATENATE("R",'Mapa final'!$A$26),"")</f>
        <v/>
      </c>
      <c r="M20" s="265"/>
      <c r="N20" s="265" t="str">
        <f>IF(AND('Mapa final'!$L$28="Alta",'Mapa final'!$P$28="Leve"),CONCATENATE("R",'Mapa final'!$A$28),"")</f>
        <v/>
      </c>
      <c r="O20" s="266"/>
      <c r="P20" s="264" t="e">
        <f>IF(AND('Mapa final'!#REF!="Alta",'Mapa final'!#REF!="Menor"),CONCATENATE("R",'Mapa final'!#REF!),"")</f>
        <v>#REF!</v>
      </c>
      <c r="Q20" s="265"/>
      <c r="R20" s="265" t="str">
        <f>IF(AND('Mapa final'!$L$26="Alta",'Mapa final'!$P$26="Menor"),CONCATENATE("R",'Mapa final'!$A$26),"")</f>
        <v/>
      </c>
      <c r="S20" s="265"/>
      <c r="T20" s="265" t="str">
        <f>IF(AND('Mapa final'!$L$28="Alta",'Mapa final'!$P$28="Menor"),CONCATENATE("R",'Mapa final'!$A$28),"")</f>
        <v/>
      </c>
      <c r="U20" s="266"/>
      <c r="V20" s="282" t="e">
        <f>IF(AND('Mapa final'!#REF!="Alta",'Mapa final'!#REF!="Moderado"),CONCATENATE("R",'Mapa final'!#REF!),"")</f>
        <v>#REF!</v>
      </c>
      <c r="W20" s="283"/>
      <c r="X20" s="283" t="str">
        <f>IF(AND('Mapa final'!$L$26="Alta",'Mapa final'!$P$26="Moderado"),CONCATENATE("R",'Mapa final'!$A$26),"")</f>
        <v/>
      </c>
      <c r="Y20" s="283"/>
      <c r="Z20" s="283" t="str">
        <f>IF(AND('Mapa final'!$L$28="Alta",'Mapa final'!$P$28="Moderado"),CONCATENATE("R",'Mapa final'!$A$28),"")</f>
        <v/>
      </c>
      <c r="AA20" s="284"/>
      <c r="AB20" s="282" t="e">
        <f>IF(AND('Mapa final'!#REF!="Alta",'Mapa final'!#REF!="Mayor"),CONCATENATE("R",'Mapa final'!#REF!),"")</f>
        <v>#REF!</v>
      </c>
      <c r="AC20" s="283"/>
      <c r="AD20" s="283" t="str">
        <f>IF(AND('Mapa final'!$L$26="Alta",'Mapa final'!$P$26="Mayor"),CONCATENATE("R",'Mapa final'!$A$26),"")</f>
        <v/>
      </c>
      <c r="AE20" s="283"/>
      <c r="AF20" s="283" t="str">
        <f>IF(AND('Mapa final'!$L$28="Alta",'Mapa final'!$P$28="Mayor"),CONCATENATE("R",'Mapa final'!$A$28),"")</f>
        <v/>
      </c>
      <c r="AG20" s="284"/>
      <c r="AH20" s="273" t="e">
        <f>IF(AND('Mapa final'!#REF!="Alta",'Mapa final'!#REF!="Catastrófico"),CONCATENATE("R",'Mapa final'!#REF!),"")</f>
        <v>#REF!</v>
      </c>
      <c r="AI20" s="274"/>
      <c r="AJ20" s="274" t="str">
        <f>IF(AND('Mapa final'!$L$26="Alta",'Mapa final'!$P$26="Catastrófico"),CONCATENATE("R",'Mapa final'!$A$26),"")</f>
        <v/>
      </c>
      <c r="AK20" s="274"/>
      <c r="AL20" s="274" t="str">
        <f>IF(AND('Mapa final'!$L$28="Alta",'Mapa final'!$P$28="Catastrófico"),CONCATENATE("R",'Mapa final'!$A$28),"")</f>
        <v/>
      </c>
      <c r="AM20" s="275"/>
      <c r="AN20" s="69"/>
      <c r="AO20" s="316"/>
      <c r="AP20" s="317"/>
      <c r="AQ20" s="317"/>
      <c r="AR20" s="317"/>
      <c r="AS20" s="317"/>
      <c r="AT20" s="318"/>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row>
    <row r="21" spans="1:80" ht="15.75" customHeight="1" thickBot="1" x14ac:dyDescent="0.3">
      <c r="A21" s="69"/>
      <c r="B21" s="302"/>
      <c r="C21" s="302"/>
      <c r="D21" s="303"/>
      <c r="E21" s="298"/>
      <c r="F21" s="299"/>
      <c r="G21" s="299"/>
      <c r="H21" s="299"/>
      <c r="I21" s="299"/>
      <c r="J21" s="267"/>
      <c r="K21" s="268"/>
      <c r="L21" s="268"/>
      <c r="M21" s="268"/>
      <c r="N21" s="268"/>
      <c r="O21" s="269"/>
      <c r="P21" s="267"/>
      <c r="Q21" s="268"/>
      <c r="R21" s="268"/>
      <c r="S21" s="268"/>
      <c r="T21" s="268"/>
      <c r="U21" s="269"/>
      <c r="V21" s="285"/>
      <c r="W21" s="286"/>
      <c r="X21" s="286"/>
      <c r="Y21" s="286"/>
      <c r="Z21" s="286"/>
      <c r="AA21" s="287"/>
      <c r="AB21" s="285"/>
      <c r="AC21" s="286"/>
      <c r="AD21" s="286"/>
      <c r="AE21" s="286"/>
      <c r="AF21" s="286"/>
      <c r="AG21" s="287"/>
      <c r="AH21" s="276"/>
      <c r="AI21" s="277"/>
      <c r="AJ21" s="277"/>
      <c r="AK21" s="277"/>
      <c r="AL21" s="277"/>
      <c r="AM21" s="278"/>
      <c r="AN21" s="69"/>
      <c r="AO21" s="319"/>
      <c r="AP21" s="320"/>
      <c r="AQ21" s="320"/>
      <c r="AR21" s="320"/>
      <c r="AS21" s="320"/>
      <c r="AT21" s="321"/>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row>
    <row r="22" spans="1:80" x14ac:dyDescent="0.25">
      <c r="A22" s="69"/>
      <c r="B22" s="302"/>
      <c r="C22" s="302"/>
      <c r="D22" s="303"/>
      <c r="E22" s="292" t="s">
        <v>116</v>
      </c>
      <c r="F22" s="293"/>
      <c r="G22" s="293"/>
      <c r="H22" s="293"/>
      <c r="I22" s="294"/>
      <c r="J22" s="270" t="e">
        <f>IF(AND('Mapa final'!#REF!="Media",'Mapa final'!#REF!="Leve"),CONCATENATE("R",'Mapa final'!#REF!),"")</f>
        <v>#REF!</v>
      </c>
      <c r="K22" s="271"/>
      <c r="L22" s="271" t="str">
        <f>IF(AND('Mapa final'!$L$13="Media",'Mapa final'!$P$13="Leve"),CONCATENATE("R",'Mapa final'!$A$13),"")</f>
        <v/>
      </c>
      <c r="M22" s="271"/>
      <c r="N22" s="271" t="e">
        <f>IF(AND('Mapa final'!#REF!="Media",'Mapa final'!#REF!="Leve"),CONCATENATE("R",'Mapa final'!#REF!),"")</f>
        <v>#REF!</v>
      </c>
      <c r="O22" s="272"/>
      <c r="P22" s="270" t="e">
        <f>IF(AND('Mapa final'!#REF!="Media",'Mapa final'!#REF!="Menor"),CONCATENATE("R",'Mapa final'!#REF!),"")</f>
        <v>#REF!</v>
      </c>
      <c r="Q22" s="271"/>
      <c r="R22" s="271" t="str">
        <f>IF(AND('Mapa final'!$L$13="Media",'Mapa final'!$P$13="Menor"),CONCATENATE("R",'Mapa final'!$A$13),"")</f>
        <v/>
      </c>
      <c r="S22" s="271"/>
      <c r="T22" s="271" t="e">
        <f>IF(AND('Mapa final'!#REF!="Media",'Mapa final'!#REF!="Menor"),CONCATENATE("R",'Mapa final'!#REF!),"")</f>
        <v>#REF!</v>
      </c>
      <c r="U22" s="272"/>
      <c r="V22" s="270" t="e">
        <f>IF(AND('Mapa final'!#REF!="Media",'Mapa final'!#REF!="Moderado"),CONCATENATE("R",'Mapa final'!#REF!),"")</f>
        <v>#REF!</v>
      </c>
      <c r="W22" s="271"/>
      <c r="X22" s="271" t="str">
        <f>IF(AND('Mapa final'!$L$13="Media",'Mapa final'!$P$13="Moderado"),CONCATENATE("R",'Mapa final'!$A$13),"")</f>
        <v/>
      </c>
      <c r="Y22" s="271"/>
      <c r="Z22" s="271" t="e">
        <f>IF(AND('Mapa final'!#REF!="Media",'Mapa final'!#REF!="Moderado"),CONCATENATE("R",'Mapa final'!#REF!),"")</f>
        <v>#REF!</v>
      </c>
      <c r="AA22" s="272"/>
      <c r="AB22" s="288" t="e">
        <f>IF(AND('Mapa final'!#REF!="Media",'Mapa final'!#REF!="Mayor"),CONCATENATE("R",'Mapa final'!#REF!),"")</f>
        <v>#REF!</v>
      </c>
      <c r="AC22" s="289"/>
      <c r="AD22" s="289" t="str">
        <f>IF(AND('Mapa final'!$L$13="Media",'Mapa final'!$P$13="Mayor"),CONCATENATE("R",'Mapa final'!$A$13),"")</f>
        <v/>
      </c>
      <c r="AE22" s="289"/>
      <c r="AF22" s="289" t="e">
        <f>IF(AND('Mapa final'!#REF!="Media",'Mapa final'!#REF!="Mayor"),CONCATENATE("R",'Mapa final'!#REF!),"")</f>
        <v>#REF!</v>
      </c>
      <c r="AG22" s="290"/>
      <c r="AH22" s="279" t="e">
        <f>IF(AND('Mapa final'!#REF!="Media",'Mapa final'!#REF!="Catastrófico"),CONCATENATE("R",'Mapa final'!#REF!),"")</f>
        <v>#REF!</v>
      </c>
      <c r="AI22" s="280"/>
      <c r="AJ22" s="280" t="str">
        <f>IF(AND('Mapa final'!$L$13="Media",'Mapa final'!$P$13="Catastrófico"),CONCATENATE("R",'Mapa final'!$A$13),"")</f>
        <v/>
      </c>
      <c r="AK22" s="280"/>
      <c r="AL22" s="280" t="e">
        <f>IF(AND('Mapa final'!#REF!="Media",'Mapa final'!#REF!="Catastrófico"),CONCATENATE("R",'Mapa final'!#REF!),"")</f>
        <v>#REF!</v>
      </c>
      <c r="AM22" s="281"/>
      <c r="AN22" s="69"/>
      <c r="AO22" s="322" t="s">
        <v>80</v>
      </c>
      <c r="AP22" s="323"/>
      <c r="AQ22" s="323"/>
      <c r="AR22" s="323"/>
      <c r="AS22" s="323"/>
      <c r="AT22" s="324"/>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row>
    <row r="23" spans="1:80" x14ac:dyDescent="0.25">
      <c r="A23" s="69"/>
      <c r="B23" s="302"/>
      <c r="C23" s="302"/>
      <c r="D23" s="303"/>
      <c r="E23" s="295"/>
      <c r="F23" s="296"/>
      <c r="G23" s="296"/>
      <c r="H23" s="296"/>
      <c r="I23" s="297"/>
      <c r="J23" s="264"/>
      <c r="K23" s="265"/>
      <c r="L23" s="265"/>
      <c r="M23" s="265"/>
      <c r="N23" s="265"/>
      <c r="O23" s="266"/>
      <c r="P23" s="264"/>
      <c r="Q23" s="265"/>
      <c r="R23" s="265"/>
      <c r="S23" s="265"/>
      <c r="T23" s="265"/>
      <c r="U23" s="266"/>
      <c r="V23" s="264"/>
      <c r="W23" s="265"/>
      <c r="X23" s="265"/>
      <c r="Y23" s="265"/>
      <c r="Z23" s="265"/>
      <c r="AA23" s="266"/>
      <c r="AB23" s="282"/>
      <c r="AC23" s="283"/>
      <c r="AD23" s="283"/>
      <c r="AE23" s="283"/>
      <c r="AF23" s="283"/>
      <c r="AG23" s="284"/>
      <c r="AH23" s="273"/>
      <c r="AI23" s="274"/>
      <c r="AJ23" s="274"/>
      <c r="AK23" s="274"/>
      <c r="AL23" s="274"/>
      <c r="AM23" s="275"/>
      <c r="AN23" s="69"/>
      <c r="AO23" s="325"/>
      <c r="AP23" s="326"/>
      <c r="AQ23" s="326"/>
      <c r="AR23" s="326"/>
      <c r="AS23" s="326"/>
      <c r="AT23" s="327"/>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row>
    <row r="24" spans="1:80" x14ac:dyDescent="0.25">
      <c r="A24" s="69"/>
      <c r="B24" s="302"/>
      <c r="C24" s="302"/>
      <c r="D24" s="303"/>
      <c r="E24" s="295"/>
      <c r="F24" s="296"/>
      <c r="G24" s="296"/>
      <c r="H24" s="296"/>
      <c r="I24" s="297"/>
      <c r="J24" s="264" t="e">
        <f>IF(AND('Mapa final'!#REF!="Media",'Mapa final'!#REF!="Leve"),CONCATENATE("R",'Mapa final'!#REF!),"")</f>
        <v>#REF!</v>
      </c>
      <c r="K24" s="265"/>
      <c r="L24" s="265" t="e">
        <f>IF(AND('Mapa final'!#REF!="Media",'Mapa final'!#REF!="Leve"),CONCATENATE("R",'Mapa final'!#REF!),"")</f>
        <v>#REF!</v>
      </c>
      <c r="M24" s="265"/>
      <c r="N24" s="265" t="e">
        <f>IF(AND('Mapa final'!#REF!="Media",'Mapa final'!#REF!="Leve"),CONCATENATE("R",'Mapa final'!#REF!),"")</f>
        <v>#REF!</v>
      </c>
      <c r="O24" s="266"/>
      <c r="P24" s="264" t="e">
        <f>IF(AND('Mapa final'!#REF!="Media",'Mapa final'!#REF!="Menor"),CONCATENATE("R",'Mapa final'!#REF!),"")</f>
        <v>#REF!</v>
      </c>
      <c r="Q24" s="265"/>
      <c r="R24" s="265" t="e">
        <f>IF(AND('Mapa final'!#REF!="Media",'Mapa final'!#REF!="Menor"),CONCATENATE("R",'Mapa final'!#REF!),"")</f>
        <v>#REF!</v>
      </c>
      <c r="S24" s="265"/>
      <c r="T24" s="265" t="e">
        <f>IF(AND('Mapa final'!#REF!="Media",'Mapa final'!#REF!="Menor"),CONCATENATE("R",'Mapa final'!#REF!),"")</f>
        <v>#REF!</v>
      </c>
      <c r="U24" s="266"/>
      <c r="V24" s="264" t="e">
        <f>IF(AND('Mapa final'!#REF!="Media",'Mapa final'!#REF!="Moderado"),CONCATENATE("R",'Mapa final'!#REF!),"")</f>
        <v>#REF!</v>
      </c>
      <c r="W24" s="265"/>
      <c r="X24" s="265" t="e">
        <f>IF(AND('Mapa final'!#REF!="Media",'Mapa final'!#REF!="Moderado"),CONCATENATE("R",'Mapa final'!#REF!),"")</f>
        <v>#REF!</v>
      </c>
      <c r="Y24" s="265"/>
      <c r="Z24" s="265" t="e">
        <f>IF(AND('Mapa final'!#REF!="Media",'Mapa final'!#REF!="Moderado"),CONCATENATE("R",'Mapa final'!#REF!),"")</f>
        <v>#REF!</v>
      </c>
      <c r="AA24" s="266"/>
      <c r="AB24" s="282" t="e">
        <f>IF(AND('Mapa final'!#REF!="Media",'Mapa final'!#REF!="Mayor"),CONCATENATE("R",'Mapa final'!#REF!),"")</f>
        <v>#REF!</v>
      </c>
      <c r="AC24" s="283"/>
      <c r="AD24" s="283" t="e">
        <f>IF(AND('Mapa final'!#REF!="Media",'Mapa final'!#REF!="Mayor"),CONCATENATE("R",'Mapa final'!#REF!),"")</f>
        <v>#REF!</v>
      </c>
      <c r="AE24" s="283"/>
      <c r="AF24" s="283" t="e">
        <f>IF(AND('Mapa final'!#REF!="Media",'Mapa final'!#REF!="Mayor"),CONCATENATE("R",'Mapa final'!#REF!),"")</f>
        <v>#REF!</v>
      </c>
      <c r="AG24" s="284"/>
      <c r="AH24" s="273" t="e">
        <f>IF(AND('Mapa final'!#REF!="Media",'Mapa final'!#REF!="Catastrófico"),CONCATENATE("R",'Mapa final'!#REF!),"")</f>
        <v>#REF!</v>
      </c>
      <c r="AI24" s="274"/>
      <c r="AJ24" s="274" t="e">
        <f>IF(AND('Mapa final'!#REF!="Media",'Mapa final'!#REF!="Catastrófico"),CONCATENATE("R",'Mapa final'!#REF!),"")</f>
        <v>#REF!</v>
      </c>
      <c r="AK24" s="274"/>
      <c r="AL24" s="274" t="e">
        <f>IF(AND('Mapa final'!#REF!="Media",'Mapa final'!#REF!="Catastrófico"),CONCATENATE("R",'Mapa final'!#REF!),"")</f>
        <v>#REF!</v>
      </c>
      <c r="AM24" s="275"/>
      <c r="AN24" s="69"/>
      <c r="AO24" s="325"/>
      <c r="AP24" s="326"/>
      <c r="AQ24" s="326"/>
      <c r="AR24" s="326"/>
      <c r="AS24" s="326"/>
      <c r="AT24" s="327"/>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row>
    <row r="25" spans="1:80" x14ac:dyDescent="0.25">
      <c r="A25" s="69"/>
      <c r="B25" s="302"/>
      <c r="C25" s="302"/>
      <c r="D25" s="303"/>
      <c r="E25" s="295"/>
      <c r="F25" s="296"/>
      <c r="G25" s="296"/>
      <c r="H25" s="296"/>
      <c r="I25" s="297"/>
      <c r="J25" s="264"/>
      <c r="K25" s="265"/>
      <c r="L25" s="265"/>
      <c r="M25" s="265"/>
      <c r="N25" s="265"/>
      <c r="O25" s="266"/>
      <c r="P25" s="264"/>
      <c r="Q25" s="265"/>
      <c r="R25" s="265"/>
      <c r="S25" s="265"/>
      <c r="T25" s="265"/>
      <c r="U25" s="266"/>
      <c r="V25" s="264"/>
      <c r="W25" s="265"/>
      <c r="X25" s="265"/>
      <c r="Y25" s="265"/>
      <c r="Z25" s="265"/>
      <c r="AA25" s="266"/>
      <c r="AB25" s="282"/>
      <c r="AC25" s="283"/>
      <c r="AD25" s="283"/>
      <c r="AE25" s="283"/>
      <c r="AF25" s="283"/>
      <c r="AG25" s="284"/>
      <c r="AH25" s="273"/>
      <c r="AI25" s="274"/>
      <c r="AJ25" s="274"/>
      <c r="AK25" s="274"/>
      <c r="AL25" s="274"/>
      <c r="AM25" s="275"/>
      <c r="AN25" s="69"/>
      <c r="AO25" s="325"/>
      <c r="AP25" s="326"/>
      <c r="AQ25" s="326"/>
      <c r="AR25" s="326"/>
      <c r="AS25" s="326"/>
      <c r="AT25" s="327"/>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row>
    <row r="26" spans="1:80" x14ac:dyDescent="0.25">
      <c r="A26" s="69"/>
      <c r="B26" s="302"/>
      <c r="C26" s="302"/>
      <c r="D26" s="303"/>
      <c r="E26" s="295"/>
      <c r="F26" s="296"/>
      <c r="G26" s="296"/>
      <c r="H26" s="296"/>
      <c r="I26" s="297"/>
      <c r="J26" s="264" t="e">
        <f>IF(AND('Mapa final'!#REF!="Media",'Mapa final'!#REF!="Leve"),CONCATENATE("R",'Mapa final'!#REF!),"")</f>
        <v>#REF!</v>
      </c>
      <c r="K26" s="265"/>
      <c r="L26" s="265" t="e">
        <f>IF(AND('Mapa final'!#REF!="Media",'Mapa final'!#REF!="Leve"),CONCATENATE("R",'Mapa final'!#REF!),"")</f>
        <v>#REF!</v>
      </c>
      <c r="M26" s="265"/>
      <c r="N26" s="265" t="e">
        <f>IF(AND('Mapa final'!#REF!="Media",'Mapa final'!#REF!="Leve"),CONCATENATE("R",'Mapa final'!#REF!),"")</f>
        <v>#REF!</v>
      </c>
      <c r="O26" s="266"/>
      <c r="P26" s="264" t="e">
        <f>IF(AND('Mapa final'!#REF!="Media",'Mapa final'!#REF!="Menor"),CONCATENATE("R",'Mapa final'!#REF!),"")</f>
        <v>#REF!</v>
      </c>
      <c r="Q26" s="265"/>
      <c r="R26" s="265" t="e">
        <f>IF(AND('Mapa final'!#REF!="Media",'Mapa final'!#REF!="Menor"),CONCATENATE("R",'Mapa final'!#REF!),"")</f>
        <v>#REF!</v>
      </c>
      <c r="S26" s="265"/>
      <c r="T26" s="265" t="e">
        <f>IF(AND('Mapa final'!#REF!="Media",'Mapa final'!#REF!="Menor"),CONCATENATE("R",'Mapa final'!#REF!),"")</f>
        <v>#REF!</v>
      </c>
      <c r="U26" s="266"/>
      <c r="V26" s="264" t="e">
        <f>IF(AND('Mapa final'!#REF!="Media",'Mapa final'!#REF!="Moderado"),CONCATENATE("R",'Mapa final'!#REF!),"")</f>
        <v>#REF!</v>
      </c>
      <c r="W26" s="265"/>
      <c r="X26" s="265" t="e">
        <f>IF(AND('Mapa final'!#REF!="Media",'Mapa final'!#REF!="Moderado"),CONCATENATE("R",'Mapa final'!#REF!),"")</f>
        <v>#REF!</v>
      </c>
      <c r="Y26" s="265"/>
      <c r="Z26" s="265" t="e">
        <f>IF(AND('Mapa final'!#REF!="Media",'Mapa final'!#REF!="Moderado"),CONCATENATE("R",'Mapa final'!#REF!),"")</f>
        <v>#REF!</v>
      </c>
      <c r="AA26" s="266"/>
      <c r="AB26" s="282" t="e">
        <f>IF(AND('Mapa final'!#REF!="Media",'Mapa final'!#REF!="Mayor"),CONCATENATE("R",'Mapa final'!#REF!),"")</f>
        <v>#REF!</v>
      </c>
      <c r="AC26" s="283"/>
      <c r="AD26" s="283" t="e">
        <f>IF(AND('Mapa final'!#REF!="Media",'Mapa final'!#REF!="Mayor"),CONCATENATE("R",'Mapa final'!#REF!),"")</f>
        <v>#REF!</v>
      </c>
      <c r="AE26" s="283"/>
      <c r="AF26" s="283" t="e">
        <f>IF(AND('Mapa final'!#REF!="Media",'Mapa final'!#REF!="Mayor"),CONCATENATE("R",'Mapa final'!#REF!),"")</f>
        <v>#REF!</v>
      </c>
      <c r="AG26" s="284"/>
      <c r="AH26" s="273" t="e">
        <f>IF(AND('Mapa final'!#REF!="Media",'Mapa final'!#REF!="Catastrófico"),CONCATENATE("R",'Mapa final'!#REF!),"")</f>
        <v>#REF!</v>
      </c>
      <c r="AI26" s="274"/>
      <c r="AJ26" s="274" t="e">
        <f>IF(AND('Mapa final'!#REF!="Media",'Mapa final'!#REF!="Catastrófico"),CONCATENATE("R",'Mapa final'!#REF!),"")</f>
        <v>#REF!</v>
      </c>
      <c r="AK26" s="274"/>
      <c r="AL26" s="274" t="e">
        <f>IF(AND('Mapa final'!#REF!="Media",'Mapa final'!#REF!="Catastrófico"),CONCATENATE("R",'Mapa final'!#REF!),"")</f>
        <v>#REF!</v>
      </c>
      <c r="AM26" s="275"/>
      <c r="AN26" s="69"/>
      <c r="AO26" s="325"/>
      <c r="AP26" s="326"/>
      <c r="AQ26" s="326"/>
      <c r="AR26" s="326"/>
      <c r="AS26" s="326"/>
      <c r="AT26" s="327"/>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row>
    <row r="27" spans="1:80" x14ac:dyDescent="0.25">
      <c r="A27" s="69"/>
      <c r="B27" s="302"/>
      <c r="C27" s="302"/>
      <c r="D27" s="303"/>
      <c r="E27" s="295"/>
      <c r="F27" s="296"/>
      <c r="G27" s="296"/>
      <c r="H27" s="296"/>
      <c r="I27" s="297"/>
      <c r="J27" s="264"/>
      <c r="K27" s="265"/>
      <c r="L27" s="265"/>
      <c r="M27" s="265"/>
      <c r="N27" s="265"/>
      <c r="O27" s="266"/>
      <c r="P27" s="264"/>
      <c r="Q27" s="265"/>
      <c r="R27" s="265"/>
      <c r="S27" s="265"/>
      <c r="T27" s="265"/>
      <c r="U27" s="266"/>
      <c r="V27" s="264"/>
      <c r="W27" s="265"/>
      <c r="X27" s="265"/>
      <c r="Y27" s="265"/>
      <c r="Z27" s="265"/>
      <c r="AA27" s="266"/>
      <c r="AB27" s="282"/>
      <c r="AC27" s="283"/>
      <c r="AD27" s="283"/>
      <c r="AE27" s="283"/>
      <c r="AF27" s="283"/>
      <c r="AG27" s="284"/>
      <c r="AH27" s="273"/>
      <c r="AI27" s="274"/>
      <c r="AJ27" s="274"/>
      <c r="AK27" s="274"/>
      <c r="AL27" s="274"/>
      <c r="AM27" s="275"/>
      <c r="AN27" s="69"/>
      <c r="AO27" s="325"/>
      <c r="AP27" s="326"/>
      <c r="AQ27" s="326"/>
      <c r="AR27" s="326"/>
      <c r="AS27" s="326"/>
      <c r="AT27" s="327"/>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row>
    <row r="28" spans="1:80" x14ac:dyDescent="0.25">
      <c r="A28" s="69"/>
      <c r="B28" s="302"/>
      <c r="C28" s="302"/>
      <c r="D28" s="303"/>
      <c r="E28" s="295"/>
      <c r="F28" s="296"/>
      <c r="G28" s="296"/>
      <c r="H28" s="296"/>
      <c r="I28" s="297"/>
      <c r="J28" s="264" t="e">
        <f>IF(AND('Mapa final'!#REF!="Media",'Mapa final'!#REF!="Leve"),CONCATENATE("R",'Mapa final'!#REF!),"")</f>
        <v>#REF!</v>
      </c>
      <c r="K28" s="265"/>
      <c r="L28" s="265" t="str">
        <f>IF(AND('Mapa final'!$L$26="Media",'Mapa final'!$P$26="Leve"),CONCATENATE("R",'Mapa final'!$A$26),"")</f>
        <v/>
      </c>
      <c r="M28" s="265"/>
      <c r="N28" s="265" t="str">
        <f>IF(AND('Mapa final'!$L$28="Media",'Mapa final'!$P$28="Leve"),CONCATENATE("R",'Mapa final'!$A$28),"")</f>
        <v/>
      </c>
      <c r="O28" s="266"/>
      <c r="P28" s="264" t="e">
        <f>IF(AND('Mapa final'!#REF!="Media",'Mapa final'!#REF!="Menor"),CONCATENATE("R",'Mapa final'!#REF!),"")</f>
        <v>#REF!</v>
      </c>
      <c r="Q28" s="265"/>
      <c r="R28" s="265" t="str">
        <f>IF(AND('Mapa final'!$L$26="Media",'Mapa final'!$P$26="Menor"),CONCATENATE("R",'Mapa final'!$A$26),"")</f>
        <v/>
      </c>
      <c r="S28" s="265"/>
      <c r="T28" s="265" t="str">
        <f>IF(AND('Mapa final'!$L$28="Media",'Mapa final'!$P$28="Menor"),CONCATENATE("R",'Mapa final'!$A$28),"")</f>
        <v/>
      </c>
      <c r="U28" s="266"/>
      <c r="V28" s="264" t="e">
        <f>IF(AND('Mapa final'!#REF!="Media",'Mapa final'!#REF!="Moderado"),CONCATENATE("R",'Mapa final'!#REF!),"")</f>
        <v>#REF!</v>
      </c>
      <c r="W28" s="265"/>
      <c r="X28" s="265" t="str">
        <f>IF(AND('Mapa final'!$L$26="Media",'Mapa final'!$P$26="Moderado"),CONCATENATE("R",'Mapa final'!$A$26),"")</f>
        <v/>
      </c>
      <c r="Y28" s="265"/>
      <c r="Z28" s="265" t="str">
        <f>IF(AND('Mapa final'!$L$28="Media",'Mapa final'!$P$28="Moderado"),CONCATENATE("R",'Mapa final'!$A$28),"")</f>
        <v/>
      </c>
      <c r="AA28" s="266"/>
      <c r="AB28" s="282" t="e">
        <f>IF(AND('Mapa final'!#REF!="Media",'Mapa final'!#REF!="Mayor"),CONCATENATE("R",'Mapa final'!#REF!),"")</f>
        <v>#REF!</v>
      </c>
      <c r="AC28" s="283"/>
      <c r="AD28" s="283" t="str">
        <f>IF(AND('Mapa final'!$L$26="Media",'Mapa final'!$P$26="Mayor"),CONCATENATE("R",'Mapa final'!$A$26),"")</f>
        <v/>
      </c>
      <c r="AE28" s="283"/>
      <c r="AF28" s="283" t="str">
        <f>IF(AND('Mapa final'!$L$28="Media",'Mapa final'!$P$28="Mayor"),CONCATENATE("R",'Mapa final'!$A$28),"")</f>
        <v/>
      </c>
      <c r="AG28" s="284"/>
      <c r="AH28" s="273" t="e">
        <f>IF(AND('Mapa final'!#REF!="Media",'Mapa final'!#REF!="Catastrófico"),CONCATENATE("R",'Mapa final'!#REF!),"")</f>
        <v>#REF!</v>
      </c>
      <c r="AI28" s="274"/>
      <c r="AJ28" s="274" t="str">
        <f>IF(AND('Mapa final'!$L$26="Media",'Mapa final'!$P$26="Catastrófico"),CONCATENATE("R",'Mapa final'!$A$26),"")</f>
        <v/>
      </c>
      <c r="AK28" s="274"/>
      <c r="AL28" s="274" t="str">
        <f>IF(AND('Mapa final'!$L$28="Media",'Mapa final'!$P$28="Catastrófico"),CONCATENATE("R",'Mapa final'!$A$28),"")</f>
        <v/>
      </c>
      <c r="AM28" s="275"/>
      <c r="AN28" s="69"/>
      <c r="AO28" s="325"/>
      <c r="AP28" s="326"/>
      <c r="AQ28" s="326"/>
      <c r="AR28" s="326"/>
      <c r="AS28" s="326"/>
      <c r="AT28" s="327"/>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row>
    <row r="29" spans="1:80" ht="15.75" thickBot="1" x14ac:dyDescent="0.3">
      <c r="A29" s="69"/>
      <c r="B29" s="302"/>
      <c r="C29" s="302"/>
      <c r="D29" s="303"/>
      <c r="E29" s="298"/>
      <c r="F29" s="299"/>
      <c r="G29" s="299"/>
      <c r="H29" s="299"/>
      <c r="I29" s="300"/>
      <c r="J29" s="264"/>
      <c r="K29" s="265"/>
      <c r="L29" s="265"/>
      <c r="M29" s="265"/>
      <c r="N29" s="265"/>
      <c r="O29" s="266"/>
      <c r="P29" s="267"/>
      <c r="Q29" s="268"/>
      <c r="R29" s="268"/>
      <c r="S29" s="268"/>
      <c r="T29" s="268"/>
      <c r="U29" s="269"/>
      <c r="V29" s="267"/>
      <c r="W29" s="268"/>
      <c r="X29" s="268"/>
      <c r="Y29" s="268"/>
      <c r="Z29" s="268"/>
      <c r="AA29" s="269"/>
      <c r="AB29" s="285"/>
      <c r="AC29" s="286"/>
      <c r="AD29" s="286"/>
      <c r="AE29" s="286"/>
      <c r="AF29" s="286"/>
      <c r="AG29" s="287"/>
      <c r="AH29" s="276"/>
      <c r="AI29" s="277"/>
      <c r="AJ29" s="277"/>
      <c r="AK29" s="277"/>
      <c r="AL29" s="277"/>
      <c r="AM29" s="278"/>
      <c r="AN29" s="69"/>
      <c r="AO29" s="328"/>
      <c r="AP29" s="329"/>
      <c r="AQ29" s="329"/>
      <c r="AR29" s="329"/>
      <c r="AS29" s="329"/>
      <c r="AT29" s="330"/>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row>
    <row r="30" spans="1:80" x14ac:dyDescent="0.25">
      <c r="A30" s="69"/>
      <c r="B30" s="302"/>
      <c r="C30" s="302"/>
      <c r="D30" s="303"/>
      <c r="E30" s="292" t="s">
        <v>113</v>
      </c>
      <c r="F30" s="293"/>
      <c r="G30" s="293"/>
      <c r="H30" s="293"/>
      <c r="I30" s="293"/>
      <c r="J30" s="261" t="e">
        <f>IF(AND('Mapa final'!#REF!="Baja",'Mapa final'!#REF!="Leve"),CONCATENATE("R",'Mapa final'!#REF!),"")</f>
        <v>#REF!</v>
      </c>
      <c r="K30" s="262"/>
      <c r="L30" s="262" t="str">
        <f>IF(AND('Mapa final'!$L$13="Baja",'Mapa final'!$P$13="Leve"),CONCATENATE("R",'Mapa final'!$A$13),"")</f>
        <v/>
      </c>
      <c r="M30" s="262"/>
      <c r="N30" s="262" t="e">
        <f>IF(AND('Mapa final'!#REF!="Baja",'Mapa final'!#REF!="Leve"),CONCATENATE("R",'Mapa final'!#REF!),"")</f>
        <v>#REF!</v>
      </c>
      <c r="O30" s="263"/>
      <c r="P30" s="271" t="e">
        <f>IF(AND('Mapa final'!#REF!="Baja",'Mapa final'!#REF!="Menor"),CONCATENATE("R",'Mapa final'!#REF!),"")</f>
        <v>#REF!</v>
      </c>
      <c r="Q30" s="271"/>
      <c r="R30" s="271" t="str">
        <f>IF(AND('Mapa final'!$L$13="Baja",'Mapa final'!$P$13="Menor"),CONCATENATE("R",'Mapa final'!$A$13),"")</f>
        <v/>
      </c>
      <c r="S30" s="271"/>
      <c r="T30" s="271" t="e">
        <f>IF(AND('Mapa final'!#REF!="Baja",'Mapa final'!#REF!="Menor"),CONCATENATE("R",'Mapa final'!#REF!),"")</f>
        <v>#REF!</v>
      </c>
      <c r="U30" s="272"/>
      <c r="V30" s="270" t="e">
        <f>IF(AND('Mapa final'!#REF!="Baja",'Mapa final'!#REF!="Moderado"),CONCATENATE("R",'Mapa final'!#REF!),"")</f>
        <v>#REF!</v>
      </c>
      <c r="W30" s="271"/>
      <c r="X30" s="271" t="str">
        <f>IF(AND('Mapa final'!$L$13="Baja",'Mapa final'!$P$13="Moderado"),CONCATENATE("R",'Mapa final'!$A$13),"")</f>
        <v/>
      </c>
      <c r="Y30" s="271"/>
      <c r="Z30" s="271" t="e">
        <f>IF(AND('Mapa final'!#REF!="Baja",'Mapa final'!#REF!="Moderado"),CONCATENATE("R",'Mapa final'!#REF!),"")</f>
        <v>#REF!</v>
      </c>
      <c r="AA30" s="272"/>
      <c r="AB30" s="288" t="e">
        <f>IF(AND('Mapa final'!#REF!="Baja",'Mapa final'!#REF!="Mayor"),CONCATENATE("R",'Mapa final'!#REF!),"")</f>
        <v>#REF!</v>
      </c>
      <c r="AC30" s="289"/>
      <c r="AD30" s="289" t="str">
        <f>IF(AND('Mapa final'!$L$13="Baja",'Mapa final'!$P$13="Mayor"),CONCATENATE("R",'Mapa final'!$A$13),"")</f>
        <v/>
      </c>
      <c r="AE30" s="289"/>
      <c r="AF30" s="289" t="e">
        <f>IF(AND('Mapa final'!#REF!="Baja",'Mapa final'!#REF!="Mayor"),CONCATENATE("R",'Mapa final'!#REF!),"")</f>
        <v>#REF!</v>
      </c>
      <c r="AG30" s="290"/>
      <c r="AH30" s="279" t="e">
        <f>IF(AND('Mapa final'!#REF!="Baja",'Mapa final'!#REF!="Catastrófico"),CONCATENATE("R",'Mapa final'!#REF!),"")</f>
        <v>#REF!</v>
      </c>
      <c r="AI30" s="280"/>
      <c r="AJ30" s="280" t="str">
        <f>IF(AND('Mapa final'!$L$13="Baja",'Mapa final'!$P$13="Catastrófico"),CONCATENATE("R",'Mapa final'!$A$13),"")</f>
        <v/>
      </c>
      <c r="AK30" s="280"/>
      <c r="AL30" s="280" t="e">
        <f>IF(AND('Mapa final'!#REF!="Baja",'Mapa final'!#REF!="Catastrófico"),CONCATENATE("R",'Mapa final'!#REF!),"")</f>
        <v>#REF!</v>
      </c>
      <c r="AM30" s="281"/>
      <c r="AN30" s="69"/>
      <c r="AO30" s="331" t="s">
        <v>81</v>
      </c>
      <c r="AP30" s="332"/>
      <c r="AQ30" s="332"/>
      <c r="AR30" s="332"/>
      <c r="AS30" s="332"/>
      <c r="AT30" s="333"/>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row>
    <row r="31" spans="1:80" x14ac:dyDescent="0.25">
      <c r="A31" s="69"/>
      <c r="B31" s="302"/>
      <c r="C31" s="302"/>
      <c r="D31" s="303"/>
      <c r="E31" s="295"/>
      <c r="F31" s="296"/>
      <c r="G31" s="296"/>
      <c r="H31" s="296"/>
      <c r="I31" s="296"/>
      <c r="J31" s="255"/>
      <c r="K31" s="256"/>
      <c r="L31" s="256"/>
      <c r="M31" s="256"/>
      <c r="N31" s="256"/>
      <c r="O31" s="257"/>
      <c r="P31" s="265"/>
      <c r="Q31" s="265"/>
      <c r="R31" s="265"/>
      <c r="S31" s="265"/>
      <c r="T31" s="265"/>
      <c r="U31" s="266"/>
      <c r="V31" s="264"/>
      <c r="W31" s="265"/>
      <c r="X31" s="265"/>
      <c r="Y31" s="265"/>
      <c r="Z31" s="265"/>
      <c r="AA31" s="266"/>
      <c r="AB31" s="282"/>
      <c r="AC31" s="283"/>
      <c r="AD31" s="283"/>
      <c r="AE31" s="283"/>
      <c r="AF31" s="283"/>
      <c r="AG31" s="284"/>
      <c r="AH31" s="273"/>
      <c r="AI31" s="274"/>
      <c r="AJ31" s="274"/>
      <c r="AK31" s="274"/>
      <c r="AL31" s="274"/>
      <c r="AM31" s="275"/>
      <c r="AN31" s="69"/>
      <c r="AO31" s="334"/>
      <c r="AP31" s="335"/>
      <c r="AQ31" s="335"/>
      <c r="AR31" s="335"/>
      <c r="AS31" s="335"/>
      <c r="AT31" s="336"/>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row>
    <row r="32" spans="1:80" x14ac:dyDescent="0.25">
      <c r="A32" s="69"/>
      <c r="B32" s="302"/>
      <c r="C32" s="302"/>
      <c r="D32" s="303"/>
      <c r="E32" s="295"/>
      <c r="F32" s="296"/>
      <c r="G32" s="296"/>
      <c r="H32" s="296"/>
      <c r="I32" s="296"/>
      <c r="J32" s="255" t="e">
        <f>IF(AND('Mapa final'!#REF!="Baja",'Mapa final'!#REF!="Leve"),CONCATENATE("R",'Mapa final'!#REF!),"")</f>
        <v>#REF!</v>
      </c>
      <c r="K32" s="256"/>
      <c r="L32" s="256" t="e">
        <f>IF(AND('Mapa final'!#REF!="Baja",'Mapa final'!#REF!="Leve"),CONCATENATE("R",'Mapa final'!#REF!),"")</f>
        <v>#REF!</v>
      </c>
      <c r="M32" s="256"/>
      <c r="N32" s="256" t="e">
        <f>IF(AND('Mapa final'!#REF!="Baja",'Mapa final'!#REF!="Leve"),CONCATENATE("R",'Mapa final'!#REF!),"")</f>
        <v>#REF!</v>
      </c>
      <c r="O32" s="257"/>
      <c r="P32" s="265" t="e">
        <f>IF(AND('Mapa final'!#REF!="Baja",'Mapa final'!#REF!="Menor"),CONCATENATE("R",'Mapa final'!#REF!),"")</f>
        <v>#REF!</v>
      </c>
      <c r="Q32" s="265"/>
      <c r="R32" s="265" t="e">
        <f>IF(AND('Mapa final'!#REF!="Baja",'Mapa final'!#REF!="Menor"),CONCATENATE("R",'Mapa final'!#REF!),"")</f>
        <v>#REF!</v>
      </c>
      <c r="S32" s="265"/>
      <c r="T32" s="265" t="e">
        <f>IF(AND('Mapa final'!#REF!="Baja",'Mapa final'!#REF!="Menor"),CONCATENATE("R",'Mapa final'!#REF!),"")</f>
        <v>#REF!</v>
      </c>
      <c r="U32" s="266"/>
      <c r="V32" s="264" t="e">
        <f>IF(AND('Mapa final'!#REF!="Baja",'Mapa final'!#REF!="Moderado"),CONCATENATE("R",'Mapa final'!#REF!),"")</f>
        <v>#REF!</v>
      </c>
      <c r="W32" s="265"/>
      <c r="X32" s="265" t="e">
        <f>IF(AND('Mapa final'!#REF!="Baja",'Mapa final'!#REF!="Moderado"),CONCATENATE("R",'Mapa final'!#REF!),"")</f>
        <v>#REF!</v>
      </c>
      <c r="Y32" s="265"/>
      <c r="Z32" s="265" t="e">
        <f>IF(AND('Mapa final'!#REF!="Baja",'Mapa final'!#REF!="Moderado"),CONCATENATE("R",'Mapa final'!#REF!),"")</f>
        <v>#REF!</v>
      </c>
      <c r="AA32" s="266"/>
      <c r="AB32" s="282" t="e">
        <f>IF(AND('Mapa final'!#REF!="Baja",'Mapa final'!#REF!="Mayor"),CONCATENATE("R",'Mapa final'!#REF!),"")</f>
        <v>#REF!</v>
      </c>
      <c r="AC32" s="283"/>
      <c r="AD32" s="283" t="e">
        <f>IF(AND('Mapa final'!#REF!="Baja",'Mapa final'!#REF!="Mayor"),CONCATENATE("R",'Mapa final'!#REF!),"")</f>
        <v>#REF!</v>
      </c>
      <c r="AE32" s="283"/>
      <c r="AF32" s="283" t="e">
        <f>IF(AND('Mapa final'!#REF!="Baja",'Mapa final'!#REF!="Mayor"),CONCATENATE("R",'Mapa final'!#REF!),"")</f>
        <v>#REF!</v>
      </c>
      <c r="AG32" s="284"/>
      <c r="AH32" s="273" t="e">
        <f>IF(AND('Mapa final'!#REF!="Baja",'Mapa final'!#REF!="Catastrófico"),CONCATENATE("R",'Mapa final'!#REF!),"")</f>
        <v>#REF!</v>
      </c>
      <c r="AI32" s="274"/>
      <c r="AJ32" s="274" t="e">
        <f>IF(AND('Mapa final'!#REF!="Baja",'Mapa final'!#REF!="Catastrófico"),CONCATENATE("R",'Mapa final'!#REF!),"")</f>
        <v>#REF!</v>
      </c>
      <c r="AK32" s="274"/>
      <c r="AL32" s="274" t="e">
        <f>IF(AND('Mapa final'!#REF!="Baja",'Mapa final'!#REF!="Catastrófico"),CONCATENATE("R",'Mapa final'!#REF!),"")</f>
        <v>#REF!</v>
      </c>
      <c r="AM32" s="275"/>
      <c r="AN32" s="69"/>
      <c r="AO32" s="334"/>
      <c r="AP32" s="335"/>
      <c r="AQ32" s="335"/>
      <c r="AR32" s="335"/>
      <c r="AS32" s="335"/>
      <c r="AT32" s="336"/>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row>
    <row r="33" spans="1:80" x14ac:dyDescent="0.25">
      <c r="A33" s="69"/>
      <c r="B33" s="302"/>
      <c r="C33" s="302"/>
      <c r="D33" s="303"/>
      <c r="E33" s="295"/>
      <c r="F33" s="296"/>
      <c r="G33" s="296"/>
      <c r="H33" s="296"/>
      <c r="I33" s="296"/>
      <c r="J33" s="255"/>
      <c r="K33" s="256"/>
      <c r="L33" s="256"/>
      <c r="M33" s="256"/>
      <c r="N33" s="256"/>
      <c r="O33" s="257"/>
      <c r="P33" s="265"/>
      <c r="Q33" s="265"/>
      <c r="R33" s="265"/>
      <c r="S33" s="265"/>
      <c r="T33" s="265"/>
      <c r="U33" s="266"/>
      <c r="V33" s="264"/>
      <c r="W33" s="265"/>
      <c r="X33" s="265"/>
      <c r="Y33" s="265"/>
      <c r="Z33" s="265"/>
      <c r="AA33" s="266"/>
      <c r="AB33" s="282"/>
      <c r="AC33" s="283"/>
      <c r="AD33" s="283"/>
      <c r="AE33" s="283"/>
      <c r="AF33" s="283"/>
      <c r="AG33" s="284"/>
      <c r="AH33" s="273"/>
      <c r="AI33" s="274"/>
      <c r="AJ33" s="274"/>
      <c r="AK33" s="274"/>
      <c r="AL33" s="274"/>
      <c r="AM33" s="275"/>
      <c r="AN33" s="69"/>
      <c r="AO33" s="334"/>
      <c r="AP33" s="335"/>
      <c r="AQ33" s="335"/>
      <c r="AR33" s="335"/>
      <c r="AS33" s="335"/>
      <c r="AT33" s="336"/>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row>
    <row r="34" spans="1:80" x14ac:dyDescent="0.25">
      <c r="A34" s="69"/>
      <c r="B34" s="302"/>
      <c r="C34" s="302"/>
      <c r="D34" s="303"/>
      <c r="E34" s="295"/>
      <c r="F34" s="296"/>
      <c r="G34" s="296"/>
      <c r="H34" s="296"/>
      <c r="I34" s="296"/>
      <c r="J34" s="255" t="e">
        <f>IF(AND('Mapa final'!#REF!="Baja",'Mapa final'!#REF!="Leve"),CONCATENATE("R",'Mapa final'!#REF!),"")</f>
        <v>#REF!</v>
      </c>
      <c r="K34" s="256"/>
      <c r="L34" s="256" t="e">
        <f>IF(AND('Mapa final'!#REF!="Baja",'Mapa final'!#REF!="Leve"),CONCATENATE("R",'Mapa final'!#REF!),"")</f>
        <v>#REF!</v>
      </c>
      <c r="M34" s="256"/>
      <c r="N34" s="256" t="e">
        <f>IF(AND('Mapa final'!#REF!="Baja",'Mapa final'!#REF!="Leve"),CONCATENATE("R",'Mapa final'!#REF!),"")</f>
        <v>#REF!</v>
      </c>
      <c r="O34" s="257"/>
      <c r="P34" s="265" t="e">
        <f>IF(AND('Mapa final'!#REF!="Baja",'Mapa final'!#REF!="Menor"),CONCATENATE("R",'Mapa final'!#REF!),"")</f>
        <v>#REF!</v>
      </c>
      <c r="Q34" s="265"/>
      <c r="R34" s="265" t="e">
        <f>IF(AND('Mapa final'!#REF!="Baja",'Mapa final'!#REF!="Menor"),CONCATENATE("R",'Mapa final'!#REF!),"")</f>
        <v>#REF!</v>
      </c>
      <c r="S34" s="265"/>
      <c r="T34" s="265" t="e">
        <f>IF(AND('Mapa final'!#REF!="Baja",'Mapa final'!#REF!="Menor"),CONCATENATE("R",'Mapa final'!#REF!),"")</f>
        <v>#REF!</v>
      </c>
      <c r="U34" s="266"/>
      <c r="V34" s="264" t="e">
        <f>IF(AND('Mapa final'!#REF!="Baja",'Mapa final'!#REF!="Moderado"),CONCATENATE("R",'Mapa final'!#REF!),"")</f>
        <v>#REF!</v>
      </c>
      <c r="W34" s="265"/>
      <c r="X34" s="265" t="e">
        <f>IF(AND('Mapa final'!#REF!="Baja",'Mapa final'!#REF!="Moderado"),CONCATENATE("R",'Mapa final'!#REF!),"")</f>
        <v>#REF!</v>
      </c>
      <c r="Y34" s="265"/>
      <c r="Z34" s="265" t="e">
        <f>IF(AND('Mapa final'!#REF!="Baja",'Mapa final'!#REF!="Moderado"),CONCATENATE("R",'Mapa final'!#REF!),"")</f>
        <v>#REF!</v>
      </c>
      <c r="AA34" s="266"/>
      <c r="AB34" s="282" t="e">
        <f>IF(AND('Mapa final'!#REF!="Baja",'Mapa final'!#REF!="Mayor"),CONCATENATE("R",'Mapa final'!#REF!),"")</f>
        <v>#REF!</v>
      </c>
      <c r="AC34" s="283"/>
      <c r="AD34" s="283" t="e">
        <f>IF(AND('Mapa final'!#REF!="Baja",'Mapa final'!#REF!="Mayor"),CONCATENATE("R",'Mapa final'!#REF!),"")</f>
        <v>#REF!</v>
      </c>
      <c r="AE34" s="283"/>
      <c r="AF34" s="283" t="e">
        <f>IF(AND('Mapa final'!#REF!="Baja",'Mapa final'!#REF!="Mayor"),CONCATENATE("R",'Mapa final'!#REF!),"")</f>
        <v>#REF!</v>
      </c>
      <c r="AG34" s="284"/>
      <c r="AH34" s="273" t="e">
        <f>IF(AND('Mapa final'!#REF!="Baja",'Mapa final'!#REF!="Catastrófico"),CONCATENATE("R",'Mapa final'!#REF!),"")</f>
        <v>#REF!</v>
      </c>
      <c r="AI34" s="274"/>
      <c r="AJ34" s="274" t="e">
        <f>IF(AND('Mapa final'!#REF!="Baja",'Mapa final'!#REF!="Catastrófico"),CONCATENATE("R",'Mapa final'!#REF!),"")</f>
        <v>#REF!</v>
      </c>
      <c r="AK34" s="274"/>
      <c r="AL34" s="274" t="e">
        <f>IF(AND('Mapa final'!#REF!="Baja",'Mapa final'!#REF!="Catastrófico"),CONCATENATE("R",'Mapa final'!#REF!),"")</f>
        <v>#REF!</v>
      </c>
      <c r="AM34" s="275"/>
      <c r="AN34" s="69"/>
      <c r="AO34" s="334"/>
      <c r="AP34" s="335"/>
      <c r="AQ34" s="335"/>
      <c r="AR34" s="335"/>
      <c r="AS34" s="335"/>
      <c r="AT34" s="336"/>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row>
    <row r="35" spans="1:80" x14ac:dyDescent="0.25">
      <c r="A35" s="69"/>
      <c r="B35" s="302"/>
      <c r="C35" s="302"/>
      <c r="D35" s="303"/>
      <c r="E35" s="295"/>
      <c r="F35" s="296"/>
      <c r="G35" s="296"/>
      <c r="H35" s="296"/>
      <c r="I35" s="296"/>
      <c r="J35" s="255"/>
      <c r="K35" s="256"/>
      <c r="L35" s="256"/>
      <c r="M35" s="256"/>
      <c r="N35" s="256"/>
      <c r="O35" s="257"/>
      <c r="P35" s="265"/>
      <c r="Q35" s="265"/>
      <c r="R35" s="265"/>
      <c r="S35" s="265"/>
      <c r="T35" s="265"/>
      <c r="U35" s="266"/>
      <c r="V35" s="264"/>
      <c r="W35" s="265"/>
      <c r="X35" s="265"/>
      <c r="Y35" s="265"/>
      <c r="Z35" s="265"/>
      <c r="AA35" s="266"/>
      <c r="AB35" s="282"/>
      <c r="AC35" s="283"/>
      <c r="AD35" s="283"/>
      <c r="AE35" s="283"/>
      <c r="AF35" s="283"/>
      <c r="AG35" s="284"/>
      <c r="AH35" s="273"/>
      <c r="AI35" s="274"/>
      <c r="AJ35" s="274"/>
      <c r="AK35" s="274"/>
      <c r="AL35" s="274"/>
      <c r="AM35" s="275"/>
      <c r="AN35" s="69"/>
      <c r="AO35" s="334"/>
      <c r="AP35" s="335"/>
      <c r="AQ35" s="335"/>
      <c r="AR35" s="335"/>
      <c r="AS35" s="335"/>
      <c r="AT35" s="336"/>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row>
    <row r="36" spans="1:80" x14ac:dyDescent="0.25">
      <c r="A36" s="69"/>
      <c r="B36" s="302"/>
      <c r="C36" s="302"/>
      <c r="D36" s="303"/>
      <c r="E36" s="295"/>
      <c r="F36" s="296"/>
      <c r="G36" s="296"/>
      <c r="H36" s="296"/>
      <c r="I36" s="296"/>
      <c r="J36" s="255" t="e">
        <f>IF(AND('Mapa final'!#REF!="Baja",'Mapa final'!#REF!="Leve"),CONCATENATE("R",'Mapa final'!#REF!),"")</f>
        <v>#REF!</v>
      </c>
      <c r="K36" s="256"/>
      <c r="L36" s="256" t="str">
        <f>IF(AND('Mapa final'!$L$26="Baja",'Mapa final'!$P$26="Leve"),CONCATENATE("R",'Mapa final'!$A$26),"")</f>
        <v/>
      </c>
      <c r="M36" s="256"/>
      <c r="N36" s="256" t="str">
        <f>IF(AND('Mapa final'!$L$28="Baja",'Mapa final'!$P$28="Leve"),CONCATENATE("R",'Mapa final'!$A$28),"")</f>
        <v/>
      </c>
      <c r="O36" s="257"/>
      <c r="P36" s="265" t="e">
        <f>IF(AND('Mapa final'!#REF!="Baja",'Mapa final'!#REF!="Menor"),CONCATENATE("R",'Mapa final'!#REF!),"")</f>
        <v>#REF!</v>
      </c>
      <c r="Q36" s="265"/>
      <c r="R36" s="265" t="str">
        <f>IF(AND('Mapa final'!$L$26="Baja",'Mapa final'!$P$26="Menor"),CONCATENATE("R",'Mapa final'!$A$26),"")</f>
        <v/>
      </c>
      <c r="S36" s="265"/>
      <c r="T36" s="265" t="str">
        <f>IF(AND('Mapa final'!$L$28="Baja",'Mapa final'!$P$28="Menor"),CONCATENATE("R",'Mapa final'!$A$28),"")</f>
        <v/>
      </c>
      <c r="U36" s="266"/>
      <c r="V36" s="264" t="e">
        <f>IF(AND('Mapa final'!#REF!="Baja",'Mapa final'!#REF!="Moderado"),CONCATENATE("R",'Mapa final'!#REF!),"")</f>
        <v>#REF!</v>
      </c>
      <c r="W36" s="265"/>
      <c r="X36" s="265" t="str">
        <f>IF(AND('Mapa final'!$L$26="Baja",'Mapa final'!$P$26="Moderado"),CONCATENATE("R",'Mapa final'!$A$26),"")</f>
        <v/>
      </c>
      <c r="Y36" s="265"/>
      <c r="Z36" s="265" t="str">
        <f>IF(AND('Mapa final'!$L$28="Baja",'Mapa final'!$P$28="Moderado"),CONCATENATE("R",'Mapa final'!$A$28),"")</f>
        <v/>
      </c>
      <c r="AA36" s="266"/>
      <c r="AB36" s="282" t="e">
        <f>IF(AND('Mapa final'!#REF!="Baja",'Mapa final'!#REF!="Mayor"),CONCATENATE("R",'Mapa final'!#REF!),"")</f>
        <v>#REF!</v>
      </c>
      <c r="AC36" s="283"/>
      <c r="AD36" s="283" t="str">
        <f>IF(AND('Mapa final'!$L$26="Baja",'Mapa final'!$P$26="Mayor"),CONCATENATE("R",'Mapa final'!$A$26),"")</f>
        <v/>
      </c>
      <c r="AE36" s="283"/>
      <c r="AF36" s="283" t="str">
        <f>IF(AND('Mapa final'!$L$28="Baja",'Mapa final'!$P$28="Mayor"),CONCATENATE("R",'Mapa final'!$A$28),"")</f>
        <v/>
      </c>
      <c r="AG36" s="284"/>
      <c r="AH36" s="273" t="e">
        <f>IF(AND('Mapa final'!#REF!="Baja",'Mapa final'!#REF!="Catastrófico"),CONCATENATE("R",'Mapa final'!#REF!),"")</f>
        <v>#REF!</v>
      </c>
      <c r="AI36" s="274"/>
      <c r="AJ36" s="274" t="str">
        <f>IF(AND('Mapa final'!$L$26="Baja",'Mapa final'!$P$26="Catastrófico"),CONCATENATE("R",'Mapa final'!$A$26),"")</f>
        <v/>
      </c>
      <c r="AK36" s="274"/>
      <c r="AL36" s="274" t="str">
        <f>IF(AND('Mapa final'!$L$28="Baja",'Mapa final'!$P$28="Catastrófico"),CONCATENATE("R",'Mapa final'!$A$28),"")</f>
        <v/>
      </c>
      <c r="AM36" s="275"/>
      <c r="AN36" s="69"/>
      <c r="AO36" s="334"/>
      <c r="AP36" s="335"/>
      <c r="AQ36" s="335"/>
      <c r="AR36" s="335"/>
      <c r="AS36" s="335"/>
      <c r="AT36" s="336"/>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row>
    <row r="37" spans="1:80" ht="15.75" thickBot="1" x14ac:dyDescent="0.3">
      <c r="A37" s="69"/>
      <c r="B37" s="302"/>
      <c r="C37" s="302"/>
      <c r="D37" s="303"/>
      <c r="E37" s="298"/>
      <c r="F37" s="299"/>
      <c r="G37" s="299"/>
      <c r="H37" s="299"/>
      <c r="I37" s="299"/>
      <c r="J37" s="258"/>
      <c r="K37" s="259"/>
      <c r="L37" s="259"/>
      <c r="M37" s="259"/>
      <c r="N37" s="259"/>
      <c r="O37" s="260"/>
      <c r="P37" s="268"/>
      <c r="Q37" s="268"/>
      <c r="R37" s="268"/>
      <c r="S37" s="268"/>
      <c r="T37" s="268"/>
      <c r="U37" s="269"/>
      <c r="V37" s="267"/>
      <c r="W37" s="268"/>
      <c r="X37" s="268"/>
      <c r="Y37" s="268"/>
      <c r="Z37" s="268"/>
      <c r="AA37" s="269"/>
      <c r="AB37" s="285"/>
      <c r="AC37" s="286"/>
      <c r="AD37" s="286"/>
      <c r="AE37" s="286"/>
      <c r="AF37" s="286"/>
      <c r="AG37" s="287"/>
      <c r="AH37" s="276"/>
      <c r="AI37" s="277"/>
      <c r="AJ37" s="277"/>
      <c r="AK37" s="277"/>
      <c r="AL37" s="277"/>
      <c r="AM37" s="278"/>
      <c r="AN37" s="69"/>
      <c r="AO37" s="337"/>
      <c r="AP37" s="338"/>
      <c r="AQ37" s="338"/>
      <c r="AR37" s="338"/>
      <c r="AS37" s="338"/>
      <c r="AT37" s="33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row>
    <row r="38" spans="1:80" x14ac:dyDescent="0.25">
      <c r="A38" s="69"/>
      <c r="B38" s="302"/>
      <c r="C38" s="302"/>
      <c r="D38" s="303"/>
      <c r="E38" s="292" t="s">
        <v>112</v>
      </c>
      <c r="F38" s="293"/>
      <c r="G38" s="293"/>
      <c r="H38" s="293"/>
      <c r="I38" s="294"/>
      <c r="J38" s="261" t="e">
        <f>IF(AND('Mapa final'!#REF!="Muy Baja",'Mapa final'!#REF!="Leve"),CONCATENATE("R",'Mapa final'!#REF!),"")</f>
        <v>#REF!</v>
      </c>
      <c r="K38" s="262"/>
      <c r="L38" s="262" t="str">
        <f>IF(AND('Mapa final'!$L$13="Muy Baja",'Mapa final'!$P$13="Leve"),CONCATENATE("R",'Mapa final'!$A$13),"")</f>
        <v/>
      </c>
      <c r="M38" s="262"/>
      <c r="N38" s="262" t="e">
        <f>IF(AND('Mapa final'!#REF!="Muy Baja",'Mapa final'!#REF!="Leve"),CONCATENATE("R",'Mapa final'!#REF!),"")</f>
        <v>#REF!</v>
      </c>
      <c r="O38" s="263"/>
      <c r="P38" s="261" t="e">
        <f>IF(AND('Mapa final'!#REF!="Muy Baja",'Mapa final'!#REF!="Menor"),CONCATENATE("R",'Mapa final'!#REF!),"")</f>
        <v>#REF!</v>
      </c>
      <c r="Q38" s="262"/>
      <c r="R38" s="262" t="str">
        <f>IF(AND('Mapa final'!$L$13="Muy Baja",'Mapa final'!$P$13="Menor"),CONCATENATE("R",'Mapa final'!$A$13),"")</f>
        <v/>
      </c>
      <c r="S38" s="262"/>
      <c r="T38" s="262" t="e">
        <f>IF(AND('Mapa final'!#REF!="Muy Baja",'Mapa final'!#REF!="Menor"),CONCATENATE("R",'Mapa final'!#REF!),"")</f>
        <v>#REF!</v>
      </c>
      <c r="U38" s="263"/>
      <c r="V38" s="270" t="e">
        <f>IF(AND('Mapa final'!#REF!="Muy Baja",'Mapa final'!#REF!="Moderado"),CONCATENATE("R",'Mapa final'!#REF!),"")</f>
        <v>#REF!</v>
      </c>
      <c r="W38" s="271"/>
      <c r="X38" s="271" t="str">
        <f>IF(AND('Mapa final'!$L$13="Muy Baja",'Mapa final'!$P$13="Moderado"),CONCATENATE("R",'Mapa final'!$A$13),"")</f>
        <v>R1</v>
      </c>
      <c r="Y38" s="271"/>
      <c r="Z38" s="271" t="e">
        <f>IF(AND('Mapa final'!#REF!="Muy Baja",'Mapa final'!#REF!="Moderado"),CONCATENATE("R",'Mapa final'!#REF!),"")</f>
        <v>#REF!</v>
      </c>
      <c r="AA38" s="272"/>
      <c r="AB38" s="288" t="e">
        <f>IF(AND('Mapa final'!#REF!="Muy Baja",'Mapa final'!#REF!="Mayor"),CONCATENATE("R",'Mapa final'!#REF!),"")</f>
        <v>#REF!</v>
      </c>
      <c r="AC38" s="289"/>
      <c r="AD38" s="289" t="str">
        <f>IF(AND('Mapa final'!$L$13="Muy Baja",'Mapa final'!$P$13="Mayor"),CONCATENATE("R",'Mapa final'!$A$13),"")</f>
        <v/>
      </c>
      <c r="AE38" s="289"/>
      <c r="AF38" s="289" t="e">
        <f>IF(AND('Mapa final'!#REF!="Muy Baja",'Mapa final'!#REF!="Mayor"),CONCATENATE("R",'Mapa final'!#REF!),"")</f>
        <v>#REF!</v>
      </c>
      <c r="AG38" s="290"/>
      <c r="AH38" s="279" t="e">
        <f>IF(AND('Mapa final'!#REF!="Muy Baja",'Mapa final'!#REF!="Catastrófico"),CONCATENATE("R",'Mapa final'!#REF!),"")</f>
        <v>#REF!</v>
      </c>
      <c r="AI38" s="280"/>
      <c r="AJ38" s="280" t="str">
        <f>IF(AND('Mapa final'!$L$13="Muy Baja",'Mapa final'!$P$13="Catastrófico"),CONCATENATE("R",'Mapa final'!$A$13),"")</f>
        <v/>
      </c>
      <c r="AK38" s="280"/>
      <c r="AL38" s="280" t="e">
        <f>IF(AND('Mapa final'!#REF!="Muy Baja",'Mapa final'!#REF!="Catastrófico"),CONCATENATE("R",'Mapa final'!#REF!),"")</f>
        <v>#REF!</v>
      </c>
      <c r="AM38" s="281"/>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row>
    <row r="39" spans="1:80" x14ac:dyDescent="0.25">
      <c r="A39" s="69"/>
      <c r="B39" s="302"/>
      <c r="C39" s="302"/>
      <c r="D39" s="303"/>
      <c r="E39" s="295"/>
      <c r="F39" s="296"/>
      <c r="G39" s="296"/>
      <c r="H39" s="296"/>
      <c r="I39" s="297"/>
      <c r="J39" s="255"/>
      <c r="K39" s="256"/>
      <c r="L39" s="256"/>
      <c r="M39" s="256"/>
      <c r="N39" s="256"/>
      <c r="O39" s="257"/>
      <c r="P39" s="255"/>
      <c r="Q39" s="256"/>
      <c r="R39" s="256"/>
      <c r="S39" s="256"/>
      <c r="T39" s="256"/>
      <c r="U39" s="257"/>
      <c r="V39" s="264"/>
      <c r="W39" s="265"/>
      <c r="X39" s="265"/>
      <c r="Y39" s="265"/>
      <c r="Z39" s="265"/>
      <c r="AA39" s="266"/>
      <c r="AB39" s="282"/>
      <c r="AC39" s="283"/>
      <c r="AD39" s="283"/>
      <c r="AE39" s="283"/>
      <c r="AF39" s="283"/>
      <c r="AG39" s="284"/>
      <c r="AH39" s="273"/>
      <c r="AI39" s="274"/>
      <c r="AJ39" s="274"/>
      <c r="AK39" s="274"/>
      <c r="AL39" s="274"/>
      <c r="AM39" s="275"/>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row>
    <row r="40" spans="1:80" x14ac:dyDescent="0.25">
      <c r="A40" s="69"/>
      <c r="B40" s="302"/>
      <c r="C40" s="302"/>
      <c r="D40" s="303"/>
      <c r="E40" s="295"/>
      <c r="F40" s="296"/>
      <c r="G40" s="296"/>
      <c r="H40" s="296"/>
      <c r="I40" s="297"/>
      <c r="J40" s="255" t="e">
        <f>IF(AND('Mapa final'!#REF!="Muy Baja",'Mapa final'!#REF!="Leve"),CONCATENATE("R",'Mapa final'!#REF!),"")</f>
        <v>#REF!</v>
      </c>
      <c r="K40" s="256"/>
      <c r="L40" s="256" t="e">
        <f>IF(AND('Mapa final'!#REF!="Muy Baja",'Mapa final'!#REF!="Leve"),CONCATENATE("R",'Mapa final'!#REF!),"")</f>
        <v>#REF!</v>
      </c>
      <c r="M40" s="256"/>
      <c r="N40" s="256" t="e">
        <f>IF(AND('Mapa final'!#REF!="Muy Baja",'Mapa final'!#REF!="Leve"),CONCATENATE("R",'Mapa final'!#REF!),"")</f>
        <v>#REF!</v>
      </c>
      <c r="O40" s="257"/>
      <c r="P40" s="255" t="e">
        <f>IF(AND('Mapa final'!#REF!="Muy Baja",'Mapa final'!#REF!="Menor"),CONCATENATE("R",'Mapa final'!#REF!),"")</f>
        <v>#REF!</v>
      </c>
      <c r="Q40" s="256"/>
      <c r="R40" s="256" t="e">
        <f>IF(AND('Mapa final'!#REF!="Muy Baja",'Mapa final'!#REF!="Menor"),CONCATENATE("R",'Mapa final'!#REF!),"")</f>
        <v>#REF!</v>
      </c>
      <c r="S40" s="256"/>
      <c r="T40" s="256" t="e">
        <f>IF(AND('Mapa final'!#REF!="Muy Baja",'Mapa final'!#REF!="Menor"),CONCATENATE("R",'Mapa final'!#REF!),"")</f>
        <v>#REF!</v>
      </c>
      <c r="U40" s="257"/>
      <c r="V40" s="264" t="e">
        <f>IF(AND('Mapa final'!#REF!="Muy Baja",'Mapa final'!#REF!="Moderado"),CONCATENATE("R",'Mapa final'!#REF!),"")</f>
        <v>#REF!</v>
      </c>
      <c r="W40" s="265"/>
      <c r="X40" s="265" t="e">
        <f>IF(AND('Mapa final'!#REF!="Muy Baja",'Mapa final'!#REF!="Moderado"),CONCATENATE("R",'Mapa final'!#REF!),"")</f>
        <v>#REF!</v>
      </c>
      <c r="Y40" s="265"/>
      <c r="Z40" s="265" t="e">
        <f>IF(AND('Mapa final'!#REF!="Muy Baja",'Mapa final'!#REF!="Moderado"),CONCATENATE("R",'Mapa final'!#REF!),"")</f>
        <v>#REF!</v>
      </c>
      <c r="AA40" s="266"/>
      <c r="AB40" s="282" t="e">
        <f>IF(AND('Mapa final'!#REF!="Muy Baja",'Mapa final'!#REF!="Mayor"),CONCATENATE("R",'Mapa final'!#REF!),"")</f>
        <v>#REF!</v>
      </c>
      <c r="AC40" s="283"/>
      <c r="AD40" s="283" t="e">
        <f>IF(AND('Mapa final'!#REF!="Muy Baja",'Mapa final'!#REF!="Mayor"),CONCATENATE("R",'Mapa final'!#REF!),"")</f>
        <v>#REF!</v>
      </c>
      <c r="AE40" s="283"/>
      <c r="AF40" s="283" t="e">
        <f>IF(AND('Mapa final'!#REF!="Muy Baja",'Mapa final'!#REF!="Mayor"),CONCATENATE("R",'Mapa final'!#REF!),"")</f>
        <v>#REF!</v>
      </c>
      <c r="AG40" s="284"/>
      <c r="AH40" s="273" t="e">
        <f>IF(AND('Mapa final'!#REF!="Muy Baja",'Mapa final'!#REF!="Catastrófico"),CONCATENATE("R",'Mapa final'!#REF!),"")</f>
        <v>#REF!</v>
      </c>
      <c r="AI40" s="274"/>
      <c r="AJ40" s="274" t="e">
        <f>IF(AND('Mapa final'!#REF!="Muy Baja",'Mapa final'!#REF!="Catastrófico"),CONCATENATE("R",'Mapa final'!#REF!),"")</f>
        <v>#REF!</v>
      </c>
      <c r="AK40" s="274"/>
      <c r="AL40" s="274" t="e">
        <f>IF(AND('Mapa final'!#REF!="Muy Baja",'Mapa final'!#REF!="Catastrófico"),CONCATENATE("R",'Mapa final'!#REF!),"")</f>
        <v>#REF!</v>
      </c>
      <c r="AM40" s="275"/>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row>
    <row r="41" spans="1:80" x14ac:dyDescent="0.25">
      <c r="A41" s="69"/>
      <c r="B41" s="302"/>
      <c r="C41" s="302"/>
      <c r="D41" s="303"/>
      <c r="E41" s="295"/>
      <c r="F41" s="296"/>
      <c r="G41" s="296"/>
      <c r="H41" s="296"/>
      <c r="I41" s="297"/>
      <c r="J41" s="255"/>
      <c r="K41" s="256"/>
      <c r="L41" s="256"/>
      <c r="M41" s="256"/>
      <c r="N41" s="256"/>
      <c r="O41" s="257"/>
      <c r="P41" s="255"/>
      <c r="Q41" s="256"/>
      <c r="R41" s="256"/>
      <c r="S41" s="256"/>
      <c r="T41" s="256"/>
      <c r="U41" s="257"/>
      <c r="V41" s="264"/>
      <c r="W41" s="265"/>
      <c r="X41" s="265"/>
      <c r="Y41" s="265"/>
      <c r="Z41" s="265"/>
      <c r="AA41" s="266"/>
      <c r="AB41" s="282"/>
      <c r="AC41" s="283"/>
      <c r="AD41" s="283"/>
      <c r="AE41" s="283"/>
      <c r="AF41" s="283"/>
      <c r="AG41" s="284"/>
      <c r="AH41" s="273"/>
      <c r="AI41" s="274"/>
      <c r="AJ41" s="274"/>
      <c r="AK41" s="274"/>
      <c r="AL41" s="274"/>
      <c r="AM41" s="275"/>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row>
    <row r="42" spans="1:80" x14ac:dyDescent="0.25">
      <c r="A42" s="69"/>
      <c r="B42" s="302"/>
      <c r="C42" s="302"/>
      <c r="D42" s="303"/>
      <c r="E42" s="295"/>
      <c r="F42" s="296"/>
      <c r="G42" s="296"/>
      <c r="H42" s="296"/>
      <c r="I42" s="297"/>
      <c r="J42" s="255" t="e">
        <f>IF(AND('Mapa final'!#REF!="Muy Baja",'Mapa final'!#REF!="Leve"),CONCATENATE("R",'Mapa final'!#REF!),"")</f>
        <v>#REF!</v>
      </c>
      <c r="K42" s="256"/>
      <c r="L42" s="256" t="e">
        <f>IF(AND('Mapa final'!#REF!="Muy Baja",'Mapa final'!#REF!="Leve"),CONCATENATE("R",'Mapa final'!#REF!),"")</f>
        <v>#REF!</v>
      </c>
      <c r="M42" s="256"/>
      <c r="N42" s="256" t="e">
        <f>IF(AND('Mapa final'!#REF!="Muy Baja",'Mapa final'!#REF!="Leve"),CONCATENATE("R",'Mapa final'!#REF!),"")</f>
        <v>#REF!</v>
      </c>
      <c r="O42" s="257"/>
      <c r="P42" s="255" t="e">
        <f>IF(AND('Mapa final'!#REF!="Muy Baja",'Mapa final'!#REF!="Menor"),CONCATENATE("R",'Mapa final'!#REF!),"")</f>
        <v>#REF!</v>
      </c>
      <c r="Q42" s="256"/>
      <c r="R42" s="256" t="e">
        <f>IF(AND('Mapa final'!#REF!="Muy Baja",'Mapa final'!#REF!="Menor"),CONCATENATE("R",'Mapa final'!#REF!),"")</f>
        <v>#REF!</v>
      </c>
      <c r="S42" s="256"/>
      <c r="T42" s="256" t="e">
        <f>IF(AND('Mapa final'!#REF!="Muy Baja",'Mapa final'!#REF!="Menor"),CONCATENATE("R",'Mapa final'!#REF!),"")</f>
        <v>#REF!</v>
      </c>
      <c r="U42" s="257"/>
      <c r="V42" s="264" t="e">
        <f>IF(AND('Mapa final'!#REF!="Muy Baja",'Mapa final'!#REF!="Moderado"),CONCATENATE("R",'Mapa final'!#REF!),"")</f>
        <v>#REF!</v>
      </c>
      <c r="W42" s="265"/>
      <c r="X42" s="265" t="e">
        <f>IF(AND('Mapa final'!#REF!="Muy Baja",'Mapa final'!#REF!="Moderado"),CONCATENATE("R",'Mapa final'!#REF!),"")</f>
        <v>#REF!</v>
      </c>
      <c r="Y42" s="265"/>
      <c r="Z42" s="265" t="e">
        <f>IF(AND('Mapa final'!#REF!="Muy Baja",'Mapa final'!#REF!="Moderado"),CONCATENATE("R",'Mapa final'!#REF!),"")</f>
        <v>#REF!</v>
      </c>
      <c r="AA42" s="266"/>
      <c r="AB42" s="282" t="e">
        <f>IF(AND('Mapa final'!#REF!="Muy Baja",'Mapa final'!#REF!="Mayor"),CONCATENATE("R",'Mapa final'!#REF!),"")</f>
        <v>#REF!</v>
      </c>
      <c r="AC42" s="283"/>
      <c r="AD42" s="283" t="e">
        <f>IF(AND('Mapa final'!#REF!="Muy Baja",'Mapa final'!#REF!="Mayor"),CONCATENATE("R",'Mapa final'!#REF!),"")</f>
        <v>#REF!</v>
      </c>
      <c r="AE42" s="283"/>
      <c r="AF42" s="283" t="e">
        <f>IF(AND('Mapa final'!#REF!="Muy Baja",'Mapa final'!#REF!="Mayor"),CONCATENATE("R",'Mapa final'!#REF!),"")</f>
        <v>#REF!</v>
      </c>
      <c r="AG42" s="284"/>
      <c r="AH42" s="273" t="e">
        <f>IF(AND('Mapa final'!#REF!="Muy Baja",'Mapa final'!#REF!="Catastrófico"),CONCATENATE("R",'Mapa final'!#REF!),"")</f>
        <v>#REF!</v>
      </c>
      <c r="AI42" s="274"/>
      <c r="AJ42" s="274" t="e">
        <f>IF(AND('Mapa final'!#REF!="Muy Baja",'Mapa final'!#REF!="Catastrófico"),CONCATENATE("R",'Mapa final'!#REF!),"")</f>
        <v>#REF!</v>
      </c>
      <c r="AK42" s="274"/>
      <c r="AL42" s="274" t="e">
        <f>IF(AND('Mapa final'!#REF!="Muy Baja",'Mapa final'!#REF!="Catastrófico"),CONCATENATE("R",'Mapa final'!#REF!),"")</f>
        <v>#REF!</v>
      </c>
      <c r="AM42" s="275"/>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row>
    <row r="43" spans="1:80" x14ac:dyDescent="0.25">
      <c r="A43" s="69"/>
      <c r="B43" s="302"/>
      <c r="C43" s="302"/>
      <c r="D43" s="303"/>
      <c r="E43" s="295"/>
      <c r="F43" s="296"/>
      <c r="G43" s="296"/>
      <c r="H43" s="296"/>
      <c r="I43" s="297"/>
      <c r="J43" s="255"/>
      <c r="K43" s="256"/>
      <c r="L43" s="256"/>
      <c r="M43" s="256"/>
      <c r="N43" s="256"/>
      <c r="O43" s="257"/>
      <c r="P43" s="255"/>
      <c r="Q43" s="256"/>
      <c r="R43" s="256"/>
      <c r="S43" s="256"/>
      <c r="T43" s="256"/>
      <c r="U43" s="257"/>
      <c r="V43" s="264"/>
      <c r="W43" s="265"/>
      <c r="X43" s="265"/>
      <c r="Y43" s="265"/>
      <c r="Z43" s="265"/>
      <c r="AA43" s="266"/>
      <c r="AB43" s="282"/>
      <c r="AC43" s="283"/>
      <c r="AD43" s="283"/>
      <c r="AE43" s="283"/>
      <c r="AF43" s="283"/>
      <c r="AG43" s="284"/>
      <c r="AH43" s="273"/>
      <c r="AI43" s="274"/>
      <c r="AJ43" s="274"/>
      <c r="AK43" s="274"/>
      <c r="AL43" s="274"/>
      <c r="AM43" s="275"/>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row>
    <row r="44" spans="1:80" x14ac:dyDescent="0.25">
      <c r="A44" s="69"/>
      <c r="B44" s="302"/>
      <c r="C44" s="302"/>
      <c r="D44" s="303"/>
      <c r="E44" s="295"/>
      <c r="F44" s="296"/>
      <c r="G44" s="296"/>
      <c r="H44" s="296"/>
      <c r="I44" s="297"/>
      <c r="J44" s="255" t="e">
        <f>IF(AND('Mapa final'!#REF!="Muy Baja",'Mapa final'!#REF!="Leve"),CONCATENATE("R",'Mapa final'!#REF!),"")</f>
        <v>#REF!</v>
      </c>
      <c r="K44" s="256"/>
      <c r="L44" s="256" t="str">
        <f>IF(AND('Mapa final'!$L$26="Muy Baja",'Mapa final'!$P$26="Leve"),CONCATENATE("R",'Mapa final'!$A$26),"")</f>
        <v/>
      </c>
      <c r="M44" s="256"/>
      <c r="N44" s="256" t="str">
        <f>IF(AND('Mapa final'!$L$28="Muy Baja",'Mapa final'!$P$28="Leve"),CONCATENATE("R",'Mapa final'!$A$28),"")</f>
        <v/>
      </c>
      <c r="O44" s="257"/>
      <c r="P44" s="255" t="e">
        <f>IF(AND('Mapa final'!#REF!="Muy Baja",'Mapa final'!#REF!="Menor"),CONCATENATE("R",'Mapa final'!#REF!),"")</f>
        <v>#REF!</v>
      </c>
      <c r="Q44" s="256"/>
      <c r="R44" s="256" t="str">
        <f>IF(AND('Mapa final'!$L$26="Muy Baja",'Mapa final'!$P$26="Menor"),CONCATENATE("R",'Mapa final'!$A$26),"")</f>
        <v/>
      </c>
      <c r="S44" s="256"/>
      <c r="T44" s="256" t="str">
        <f>IF(AND('Mapa final'!$L$28="Muy Baja",'Mapa final'!$P$28="Menor"),CONCATENATE("R",'Mapa final'!$A$28),"")</f>
        <v/>
      </c>
      <c r="U44" s="257"/>
      <c r="V44" s="264" t="e">
        <f>IF(AND('Mapa final'!#REF!="Muy Baja",'Mapa final'!#REF!="Moderado"),CONCATENATE("R",'Mapa final'!#REF!),"")</f>
        <v>#REF!</v>
      </c>
      <c r="W44" s="265"/>
      <c r="X44" s="265" t="str">
        <f>IF(AND('Mapa final'!$L$26="Muy Baja",'Mapa final'!$P$26="Moderado"),CONCATENATE("R",'Mapa final'!$A$26),"")</f>
        <v/>
      </c>
      <c r="Y44" s="265"/>
      <c r="Z44" s="265" t="str">
        <f>IF(AND('Mapa final'!$L$28="Muy Baja",'Mapa final'!$P$28="Moderado"),CONCATENATE("R",'Mapa final'!$A$28),"")</f>
        <v/>
      </c>
      <c r="AA44" s="266"/>
      <c r="AB44" s="282" t="e">
        <f>IF(AND('Mapa final'!#REF!="Muy Baja",'Mapa final'!#REF!="Mayor"),CONCATENATE("R",'Mapa final'!#REF!),"")</f>
        <v>#REF!</v>
      </c>
      <c r="AC44" s="283"/>
      <c r="AD44" s="283" t="str">
        <f>IF(AND('Mapa final'!$L$26="Muy Baja",'Mapa final'!$P$26="Mayor"),CONCATENATE("R",'Mapa final'!$A$26),"")</f>
        <v/>
      </c>
      <c r="AE44" s="283"/>
      <c r="AF44" s="283" t="str">
        <f>IF(AND('Mapa final'!$L$28="Muy Baja",'Mapa final'!$P$28="Mayor"),CONCATENATE("R",'Mapa final'!$A$28),"")</f>
        <v/>
      </c>
      <c r="AG44" s="284"/>
      <c r="AH44" s="273" t="e">
        <f>IF(AND('Mapa final'!#REF!="Muy Baja",'Mapa final'!#REF!="Catastrófico"),CONCATENATE("R",'Mapa final'!#REF!),"")</f>
        <v>#REF!</v>
      </c>
      <c r="AI44" s="274"/>
      <c r="AJ44" s="274" t="str">
        <f>IF(AND('Mapa final'!$L$26="Muy Baja",'Mapa final'!$P$26="Catastrófico"),CONCATENATE("R",'Mapa final'!$A$26),"")</f>
        <v/>
      </c>
      <c r="AK44" s="274"/>
      <c r="AL44" s="274" t="str">
        <f>IF(AND('Mapa final'!$L$28="Muy Baja",'Mapa final'!$P$28="Catastrófico"),CONCATENATE("R",'Mapa final'!$A$28),"")</f>
        <v/>
      </c>
      <c r="AM44" s="275"/>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row>
    <row r="45" spans="1:80" ht="15.75" thickBot="1" x14ac:dyDescent="0.3">
      <c r="A45" s="69"/>
      <c r="B45" s="302"/>
      <c r="C45" s="302"/>
      <c r="D45" s="303"/>
      <c r="E45" s="298"/>
      <c r="F45" s="299"/>
      <c r="G45" s="299"/>
      <c r="H45" s="299"/>
      <c r="I45" s="300"/>
      <c r="J45" s="258"/>
      <c r="K45" s="259"/>
      <c r="L45" s="259"/>
      <c r="M45" s="259"/>
      <c r="N45" s="259"/>
      <c r="O45" s="260"/>
      <c r="P45" s="258"/>
      <c r="Q45" s="259"/>
      <c r="R45" s="259"/>
      <c r="S45" s="259"/>
      <c r="T45" s="259"/>
      <c r="U45" s="260"/>
      <c r="V45" s="267"/>
      <c r="W45" s="268"/>
      <c r="X45" s="268"/>
      <c r="Y45" s="268"/>
      <c r="Z45" s="268"/>
      <c r="AA45" s="269"/>
      <c r="AB45" s="285"/>
      <c r="AC45" s="286"/>
      <c r="AD45" s="286"/>
      <c r="AE45" s="286"/>
      <c r="AF45" s="286"/>
      <c r="AG45" s="287"/>
      <c r="AH45" s="276"/>
      <c r="AI45" s="277"/>
      <c r="AJ45" s="277"/>
      <c r="AK45" s="277"/>
      <c r="AL45" s="277"/>
      <c r="AM45" s="278"/>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row>
    <row r="46" spans="1:80" x14ac:dyDescent="0.25">
      <c r="A46" s="69"/>
      <c r="B46" s="69"/>
      <c r="C46" s="69"/>
      <c r="D46" s="69"/>
      <c r="E46" s="69"/>
      <c r="F46" s="69"/>
      <c r="G46" s="69"/>
      <c r="H46" s="69"/>
      <c r="I46" s="69"/>
      <c r="J46" s="292" t="s">
        <v>111</v>
      </c>
      <c r="K46" s="293"/>
      <c r="L46" s="293"/>
      <c r="M46" s="293"/>
      <c r="N46" s="293"/>
      <c r="O46" s="294"/>
      <c r="P46" s="292" t="s">
        <v>110</v>
      </c>
      <c r="Q46" s="293"/>
      <c r="R46" s="293"/>
      <c r="S46" s="293"/>
      <c r="T46" s="293"/>
      <c r="U46" s="294"/>
      <c r="V46" s="292" t="s">
        <v>109</v>
      </c>
      <c r="W46" s="293"/>
      <c r="X46" s="293"/>
      <c r="Y46" s="293"/>
      <c r="Z46" s="293"/>
      <c r="AA46" s="294"/>
      <c r="AB46" s="292" t="s">
        <v>108</v>
      </c>
      <c r="AC46" s="301"/>
      <c r="AD46" s="293"/>
      <c r="AE46" s="293"/>
      <c r="AF46" s="293"/>
      <c r="AG46" s="294"/>
      <c r="AH46" s="292" t="s">
        <v>107</v>
      </c>
      <c r="AI46" s="293"/>
      <c r="AJ46" s="293"/>
      <c r="AK46" s="293"/>
      <c r="AL46" s="293"/>
      <c r="AM46" s="294"/>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x14ac:dyDescent="0.25">
      <c r="A47" s="69"/>
      <c r="B47" s="69"/>
      <c r="C47" s="69"/>
      <c r="D47" s="69"/>
      <c r="E47" s="69"/>
      <c r="F47" s="69"/>
      <c r="G47" s="69"/>
      <c r="H47" s="69"/>
      <c r="I47" s="69"/>
      <c r="J47" s="295"/>
      <c r="K47" s="296"/>
      <c r="L47" s="296"/>
      <c r="M47" s="296"/>
      <c r="N47" s="296"/>
      <c r="O47" s="297"/>
      <c r="P47" s="295"/>
      <c r="Q47" s="296"/>
      <c r="R47" s="296"/>
      <c r="S47" s="296"/>
      <c r="T47" s="296"/>
      <c r="U47" s="297"/>
      <c r="V47" s="295"/>
      <c r="W47" s="296"/>
      <c r="X47" s="296"/>
      <c r="Y47" s="296"/>
      <c r="Z47" s="296"/>
      <c r="AA47" s="297"/>
      <c r="AB47" s="295"/>
      <c r="AC47" s="296"/>
      <c r="AD47" s="296"/>
      <c r="AE47" s="296"/>
      <c r="AF47" s="296"/>
      <c r="AG47" s="297"/>
      <c r="AH47" s="295"/>
      <c r="AI47" s="296"/>
      <c r="AJ47" s="296"/>
      <c r="AK47" s="296"/>
      <c r="AL47" s="296"/>
      <c r="AM47" s="297"/>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x14ac:dyDescent="0.25">
      <c r="A48" s="69"/>
      <c r="B48" s="69"/>
      <c r="C48" s="69"/>
      <c r="D48" s="69"/>
      <c r="E48" s="69"/>
      <c r="F48" s="69"/>
      <c r="G48" s="69"/>
      <c r="H48" s="69"/>
      <c r="I48" s="69"/>
      <c r="J48" s="295"/>
      <c r="K48" s="296"/>
      <c r="L48" s="296"/>
      <c r="M48" s="296"/>
      <c r="N48" s="296"/>
      <c r="O48" s="297"/>
      <c r="P48" s="295"/>
      <c r="Q48" s="296"/>
      <c r="R48" s="296"/>
      <c r="S48" s="296"/>
      <c r="T48" s="296"/>
      <c r="U48" s="297"/>
      <c r="V48" s="295"/>
      <c r="W48" s="296"/>
      <c r="X48" s="296"/>
      <c r="Y48" s="296"/>
      <c r="Z48" s="296"/>
      <c r="AA48" s="297"/>
      <c r="AB48" s="295"/>
      <c r="AC48" s="296"/>
      <c r="AD48" s="296"/>
      <c r="AE48" s="296"/>
      <c r="AF48" s="296"/>
      <c r="AG48" s="297"/>
      <c r="AH48" s="295"/>
      <c r="AI48" s="296"/>
      <c r="AJ48" s="296"/>
      <c r="AK48" s="296"/>
      <c r="AL48" s="296"/>
      <c r="AM48" s="297"/>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x14ac:dyDescent="0.25">
      <c r="A49" s="69"/>
      <c r="B49" s="69"/>
      <c r="C49" s="69"/>
      <c r="D49" s="69"/>
      <c r="E49" s="69"/>
      <c r="F49" s="69"/>
      <c r="G49" s="69"/>
      <c r="H49" s="69"/>
      <c r="I49" s="69"/>
      <c r="J49" s="295"/>
      <c r="K49" s="296"/>
      <c r="L49" s="296"/>
      <c r="M49" s="296"/>
      <c r="N49" s="296"/>
      <c r="O49" s="297"/>
      <c r="P49" s="295"/>
      <c r="Q49" s="296"/>
      <c r="R49" s="296"/>
      <c r="S49" s="296"/>
      <c r="T49" s="296"/>
      <c r="U49" s="297"/>
      <c r="V49" s="295"/>
      <c r="W49" s="296"/>
      <c r="X49" s="296"/>
      <c r="Y49" s="296"/>
      <c r="Z49" s="296"/>
      <c r="AA49" s="297"/>
      <c r="AB49" s="295"/>
      <c r="AC49" s="296"/>
      <c r="AD49" s="296"/>
      <c r="AE49" s="296"/>
      <c r="AF49" s="296"/>
      <c r="AG49" s="297"/>
      <c r="AH49" s="295"/>
      <c r="AI49" s="296"/>
      <c r="AJ49" s="296"/>
      <c r="AK49" s="296"/>
      <c r="AL49" s="296"/>
      <c r="AM49" s="297"/>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x14ac:dyDescent="0.25">
      <c r="A50" s="69"/>
      <c r="B50" s="69"/>
      <c r="C50" s="69"/>
      <c r="D50" s="69"/>
      <c r="E50" s="69"/>
      <c r="F50" s="69"/>
      <c r="G50" s="69"/>
      <c r="H50" s="69"/>
      <c r="I50" s="69"/>
      <c r="J50" s="295"/>
      <c r="K50" s="296"/>
      <c r="L50" s="296"/>
      <c r="M50" s="296"/>
      <c r="N50" s="296"/>
      <c r="O50" s="297"/>
      <c r="P50" s="295"/>
      <c r="Q50" s="296"/>
      <c r="R50" s="296"/>
      <c r="S50" s="296"/>
      <c r="T50" s="296"/>
      <c r="U50" s="297"/>
      <c r="V50" s="295"/>
      <c r="W50" s="296"/>
      <c r="X50" s="296"/>
      <c r="Y50" s="296"/>
      <c r="Z50" s="296"/>
      <c r="AA50" s="297"/>
      <c r="AB50" s="295"/>
      <c r="AC50" s="296"/>
      <c r="AD50" s="296"/>
      <c r="AE50" s="296"/>
      <c r="AF50" s="296"/>
      <c r="AG50" s="297"/>
      <c r="AH50" s="295"/>
      <c r="AI50" s="296"/>
      <c r="AJ50" s="296"/>
      <c r="AK50" s="296"/>
      <c r="AL50" s="296"/>
      <c r="AM50" s="297"/>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75" thickBot="1" x14ac:dyDescent="0.3">
      <c r="A51" s="69"/>
      <c r="B51" s="69"/>
      <c r="C51" s="69"/>
      <c r="D51" s="69"/>
      <c r="E51" s="69"/>
      <c r="F51" s="69"/>
      <c r="G51" s="69"/>
      <c r="H51" s="69"/>
      <c r="I51" s="69"/>
      <c r="J51" s="298"/>
      <c r="K51" s="299"/>
      <c r="L51" s="299"/>
      <c r="M51" s="299"/>
      <c r="N51" s="299"/>
      <c r="O51" s="300"/>
      <c r="P51" s="298"/>
      <c r="Q51" s="299"/>
      <c r="R51" s="299"/>
      <c r="S51" s="299"/>
      <c r="T51" s="299"/>
      <c r="U51" s="300"/>
      <c r="V51" s="298"/>
      <c r="W51" s="299"/>
      <c r="X51" s="299"/>
      <c r="Y51" s="299"/>
      <c r="Z51" s="299"/>
      <c r="AA51" s="300"/>
      <c r="AB51" s="298"/>
      <c r="AC51" s="299"/>
      <c r="AD51" s="299"/>
      <c r="AE51" s="299"/>
      <c r="AF51" s="299"/>
      <c r="AG51" s="300"/>
      <c r="AH51" s="298"/>
      <c r="AI51" s="299"/>
      <c r="AJ51" s="299"/>
      <c r="AK51" s="299"/>
      <c r="AL51" s="299"/>
      <c r="AM51" s="300"/>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row>
    <row r="63" spans="1:80"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row>
    <row r="64" spans="1:80"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row>
    <row r="65" spans="1:8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row>
    <row r="66" spans="1:8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row>
    <row r="67" spans="1:8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row>
    <row r="68" spans="1:8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row>
    <row r="69" spans="1:8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row>
    <row r="70" spans="1:8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row>
    <row r="71" spans="1:8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row>
    <row r="72" spans="1:8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row>
    <row r="73" spans="1:8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row>
    <row r="74" spans="1:8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row>
    <row r="75" spans="1:8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row>
    <row r="76" spans="1:8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row>
    <row r="77" spans="1:8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row>
    <row r="78" spans="1:8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row>
    <row r="79" spans="1:8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row>
    <row r="80" spans="1:8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row>
    <row r="81" spans="1:63"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row>
    <row r="82" spans="1:63"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row>
    <row r="83" spans="1:63"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row>
    <row r="84" spans="1:63"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row>
    <row r="85" spans="1:63"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row>
    <row r="86" spans="1:63"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row>
    <row r="87" spans="1:63"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row>
    <row r="88" spans="1:63"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row>
    <row r="89" spans="1:63"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row>
    <row r="90" spans="1:63"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row>
    <row r="91" spans="1:63"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row>
    <row r="92" spans="1:63"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row>
    <row r="93" spans="1:63"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row>
    <row r="94" spans="1:63"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row>
    <row r="95" spans="1:63"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row>
    <row r="96" spans="1:63"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row>
    <row r="97" spans="1:63"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row>
    <row r="98" spans="1:63"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row>
    <row r="99" spans="1:63"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row>
    <row r="100" spans="1:63"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row>
    <row r="101" spans="1:63"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row>
    <row r="102" spans="1:63"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row>
    <row r="103" spans="1:63"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row>
    <row r="104" spans="1:63"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row>
    <row r="105" spans="1:63"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row>
    <row r="106" spans="1:63"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row>
    <row r="107" spans="1:63"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row>
    <row r="108" spans="1:63"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row>
    <row r="109" spans="1:63"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row>
    <row r="110" spans="1:63"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row>
    <row r="111" spans="1:63"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row>
    <row r="112" spans="1:63"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row>
    <row r="113" spans="1:63"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row>
    <row r="114" spans="1:63"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row>
    <row r="115" spans="1:63"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row>
    <row r="116" spans="1:63"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row>
    <row r="117" spans="1:63"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row>
    <row r="118" spans="1:63"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row>
    <row r="119" spans="1:63"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row>
    <row r="120" spans="1:63"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row>
    <row r="121" spans="1:63"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row>
    <row r="122" spans="1:63"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row>
    <row r="123" spans="1:63"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row>
    <row r="124" spans="1:63"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row>
    <row r="125" spans="1:63"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row>
    <row r="126" spans="1:63"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row>
    <row r="127" spans="1:63"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row>
    <row r="128" spans="1:63"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row>
    <row r="129" spans="2:63"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row>
    <row r="130" spans="2:63"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row>
    <row r="131" spans="2:63"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row>
    <row r="132" spans="2:63"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row>
    <row r="133" spans="2:63"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row>
    <row r="134" spans="2:63"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row>
    <row r="135" spans="2:63"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row>
    <row r="136" spans="2:63"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row>
    <row r="137" spans="2:63" x14ac:dyDescent="0.25">
      <c r="B137" s="69"/>
      <c r="C137" s="69"/>
      <c r="D137" s="69"/>
      <c r="E137" s="69"/>
      <c r="F137" s="69"/>
      <c r="G137" s="69"/>
      <c r="H137" s="69"/>
      <c r="I137" s="69"/>
    </row>
    <row r="138" spans="2:63" x14ac:dyDescent="0.25">
      <c r="B138" s="69"/>
      <c r="C138" s="69"/>
      <c r="D138" s="69"/>
      <c r="E138" s="69"/>
      <c r="F138" s="69"/>
      <c r="G138" s="69"/>
      <c r="H138" s="69"/>
      <c r="I138" s="69"/>
    </row>
    <row r="139" spans="2:63" x14ac:dyDescent="0.25">
      <c r="B139" s="69"/>
      <c r="C139" s="69"/>
      <c r="D139" s="69"/>
      <c r="E139" s="69"/>
      <c r="F139" s="69"/>
      <c r="G139" s="69"/>
      <c r="H139" s="69"/>
      <c r="I139" s="69"/>
    </row>
    <row r="140" spans="2:63" x14ac:dyDescent="0.25">
      <c r="B140" s="69"/>
      <c r="C140" s="69"/>
      <c r="D140" s="69"/>
      <c r="E140" s="69"/>
      <c r="F140" s="69"/>
      <c r="G140" s="69"/>
      <c r="H140" s="69"/>
      <c r="I140" s="69"/>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N22" sqref="N22"/>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row>
    <row r="2" spans="1:91" ht="18" customHeight="1" x14ac:dyDescent="0.25">
      <c r="A2" s="69"/>
      <c r="B2" s="369" t="s">
        <v>156</v>
      </c>
      <c r="C2" s="370"/>
      <c r="D2" s="370"/>
      <c r="E2" s="370"/>
      <c r="F2" s="370"/>
      <c r="G2" s="370"/>
      <c r="H2" s="370"/>
      <c r="I2" s="37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row>
    <row r="3" spans="1:91" ht="18.75" customHeight="1" x14ac:dyDescent="0.25">
      <c r="A3" s="69"/>
      <c r="B3" s="370"/>
      <c r="C3" s="370"/>
      <c r="D3" s="370"/>
      <c r="E3" s="370"/>
      <c r="F3" s="370"/>
      <c r="G3" s="370"/>
      <c r="H3" s="370"/>
      <c r="I3" s="37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row>
    <row r="4" spans="1:91" ht="15" customHeight="1" x14ac:dyDescent="0.25">
      <c r="A4" s="69"/>
      <c r="B4" s="370"/>
      <c r="C4" s="370"/>
      <c r="D4" s="370"/>
      <c r="E4" s="370"/>
      <c r="F4" s="370"/>
      <c r="G4" s="370"/>
      <c r="H4" s="370"/>
      <c r="I4" s="37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row>
    <row r="5" spans="1:91"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row>
    <row r="6" spans="1:91" ht="15" customHeight="1" x14ac:dyDescent="0.25">
      <c r="A6" s="69"/>
      <c r="B6" s="302" t="s">
        <v>4</v>
      </c>
      <c r="C6" s="302"/>
      <c r="D6" s="303"/>
      <c r="E6" s="340" t="s">
        <v>115</v>
      </c>
      <c r="F6" s="341"/>
      <c r="G6" s="341"/>
      <c r="H6" s="341"/>
      <c r="I6" s="342"/>
      <c r="J6" s="32" t="e">
        <f>IF(AND('Mapa final'!#REF!="Muy Alta",'Mapa final'!#REF!="Leve"),CONCATENATE("R1C",'Mapa final'!#REF!),"")</f>
        <v>#REF!</v>
      </c>
      <c r="K6" s="33" t="e">
        <f>IF(AND('Mapa final'!#REF!="Muy Alta",'Mapa final'!#REF!="Leve"),CONCATENATE("R1C",'Mapa final'!#REF!),"")</f>
        <v>#REF!</v>
      </c>
      <c r="L6" s="33" t="e">
        <f>IF(AND('Mapa final'!#REF!="Muy Alta",'Mapa final'!#REF!="Leve"),CONCATENATE("R1C",'Mapa final'!#REF!),"")</f>
        <v>#REF!</v>
      </c>
      <c r="M6" s="33" t="e">
        <f>IF(AND('Mapa final'!#REF!="Muy Alta",'Mapa final'!#REF!="Leve"),CONCATENATE("R1C",'Mapa final'!#REF!),"")</f>
        <v>#REF!</v>
      </c>
      <c r="N6" s="33" t="e">
        <f>IF(AND('Mapa final'!#REF!="Muy Alta",'Mapa final'!#REF!="Leve"),CONCATENATE("R1C",'Mapa final'!#REF!),"")</f>
        <v>#REF!</v>
      </c>
      <c r="O6" s="34" t="e">
        <f>IF(AND('Mapa final'!#REF!="Muy Alta",'Mapa final'!#REF!="Leve"),CONCATENATE("R1C",'Mapa final'!#REF!),"")</f>
        <v>#REF!</v>
      </c>
      <c r="P6" s="32" t="e">
        <f>IF(AND('Mapa final'!#REF!="Muy Alta",'Mapa final'!#REF!="Menor"),CONCATENATE("R1C",'Mapa final'!#REF!),"")</f>
        <v>#REF!</v>
      </c>
      <c r="Q6" s="33" t="e">
        <f>IF(AND('Mapa final'!#REF!="Muy Alta",'Mapa final'!#REF!="Menor"),CONCATENATE("R1C",'Mapa final'!#REF!),"")</f>
        <v>#REF!</v>
      </c>
      <c r="R6" s="33" t="e">
        <f>IF(AND('Mapa final'!#REF!="Muy Alta",'Mapa final'!#REF!="Menor"),CONCATENATE("R1C",'Mapa final'!#REF!),"")</f>
        <v>#REF!</v>
      </c>
      <c r="S6" s="33" t="e">
        <f>IF(AND('Mapa final'!#REF!="Muy Alta",'Mapa final'!#REF!="Menor"),CONCATENATE("R1C",'Mapa final'!#REF!),"")</f>
        <v>#REF!</v>
      </c>
      <c r="T6" s="33" t="e">
        <f>IF(AND('Mapa final'!#REF!="Muy Alta",'Mapa final'!#REF!="Menor"),CONCATENATE("R1C",'Mapa final'!#REF!),"")</f>
        <v>#REF!</v>
      </c>
      <c r="U6" s="34" t="e">
        <f>IF(AND('Mapa final'!#REF!="Muy Alta",'Mapa final'!#REF!="Menor"),CONCATENATE("R1C",'Mapa final'!#REF!),"")</f>
        <v>#REF!</v>
      </c>
      <c r="V6" s="32" t="e">
        <f>IF(AND('Mapa final'!#REF!="Muy Alta",'Mapa final'!#REF!="Moderado"),CONCATENATE("R1C",'Mapa final'!#REF!),"")</f>
        <v>#REF!</v>
      </c>
      <c r="W6" s="33" t="e">
        <f>IF(AND('Mapa final'!#REF!="Muy Alta",'Mapa final'!#REF!="Moderado"),CONCATENATE("R1C",'Mapa final'!#REF!),"")</f>
        <v>#REF!</v>
      </c>
      <c r="X6" s="33" t="e">
        <f>IF(AND('Mapa final'!#REF!="Muy Alta",'Mapa final'!#REF!="Moderado"),CONCATENATE("R1C",'Mapa final'!#REF!),"")</f>
        <v>#REF!</v>
      </c>
      <c r="Y6" s="33" t="e">
        <f>IF(AND('Mapa final'!#REF!="Muy Alta",'Mapa final'!#REF!="Moderado"),CONCATENATE("R1C",'Mapa final'!#REF!),"")</f>
        <v>#REF!</v>
      </c>
      <c r="Z6" s="33" t="e">
        <f>IF(AND('Mapa final'!#REF!="Muy Alta",'Mapa final'!#REF!="Moderado"),CONCATENATE("R1C",'Mapa final'!#REF!),"")</f>
        <v>#REF!</v>
      </c>
      <c r="AA6" s="34" t="e">
        <f>IF(AND('Mapa final'!#REF!="Muy Alta",'Mapa final'!#REF!="Moderado"),CONCATENATE("R1C",'Mapa final'!#REF!),"")</f>
        <v>#REF!</v>
      </c>
      <c r="AB6" s="32" t="e">
        <f>IF(AND('Mapa final'!#REF!="Muy Alta",'Mapa final'!#REF!="Mayor"),CONCATENATE("R1C",'Mapa final'!#REF!),"")</f>
        <v>#REF!</v>
      </c>
      <c r="AC6" s="33" t="e">
        <f>IF(AND('Mapa final'!#REF!="Muy Alta",'Mapa final'!#REF!="Mayor"),CONCATENATE("R1C",'Mapa final'!#REF!),"")</f>
        <v>#REF!</v>
      </c>
      <c r="AD6" s="33" t="e">
        <f>IF(AND('Mapa final'!#REF!="Muy Alta",'Mapa final'!#REF!="Mayor"),CONCATENATE("R1C",'Mapa final'!#REF!),"")</f>
        <v>#REF!</v>
      </c>
      <c r="AE6" s="33" t="e">
        <f>IF(AND('Mapa final'!#REF!="Muy Alta",'Mapa final'!#REF!="Mayor"),CONCATENATE("R1C",'Mapa final'!#REF!),"")</f>
        <v>#REF!</v>
      </c>
      <c r="AF6" s="33" t="e">
        <f>IF(AND('Mapa final'!#REF!="Muy Alta",'Mapa final'!#REF!="Mayor"),CONCATENATE("R1C",'Mapa final'!#REF!),"")</f>
        <v>#REF!</v>
      </c>
      <c r="AG6" s="34" t="e">
        <f>IF(AND('Mapa final'!#REF!="Muy Alta",'Mapa final'!#REF!="Mayor"),CONCATENATE("R1C",'Mapa final'!#REF!),"")</f>
        <v>#REF!</v>
      </c>
      <c r="AH6" s="35" t="e">
        <f>IF(AND('Mapa final'!#REF!="Muy Alta",'Mapa final'!#REF!="Catastrófico"),CONCATENATE("R1C",'Mapa final'!#REF!),"")</f>
        <v>#REF!</v>
      </c>
      <c r="AI6" s="36" t="e">
        <f>IF(AND('Mapa final'!#REF!="Muy Alta",'Mapa final'!#REF!="Catastrófico"),CONCATENATE("R1C",'Mapa final'!#REF!),"")</f>
        <v>#REF!</v>
      </c>
      <c r="AJ6" s="36" t="e">
        <f>IF(AND('Mapa final'!#REF!="Muy Alta",'Mapa final'!#REF!="Catastrófico"),CONCATENATE("R1C",'Mapa final'!#REF!),"")</f>
        <v>#REF!</v>
      </c>
      <c r="AK6" s="36" t="e">
        <f>IF(AND('Mapa final'!#REF!="Muy Alta",'Mapa final'!#REF!="Catastrófico"),CONCATENATE("R1C",'Mapa final'!#REF!),"")</f>
        <v>#REF!</v>
      </c>
      <c r="AL6" s="36" t="e">
        <f>IF(AND('Mapa final'!#REF!="Muy Alta",'Mapa final'!#REF!="Catastrófico"),CONCATENATE("R1C",'Mapa final'!#REF!),"")</f>
        <v>#REF!</v>
      </c>
      <c r="AM6" s="37" t="e">
        <f>IF(AND('Mapa final'!#REF!="Muy Alta",'Mapa final'!#REF!="Catastrófico"),CONCATENATE("R1C",'Mapa final'!#REF!),"")</f>
        <v>#REF!</v>
      </c>
      <c r="AN6" s="69"/>
      <c r="AO6" s="360" t="s">
        <v>78</v>
      </c>
      <c r="AP6" s="361"/>
      <c r="AQ6" s="361"/>
      <c r="AR6" s="361"/>
      <c r="AS6" s="361"/>
      <c r="AT6" s="362"/>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row>
    <row r="7" spans="1:91" ht="15" customHeight="1" x14ac:dyDescent="0.25">
      <c r="A7" s="69"/>
      <c r="B7" s="302"/>
      <c r="C7" s="302"/>
      <c r="D7" s="303"/>
      <c r="E7" s="343"/>
      <c r="F7" s="344"/>
      <c r="G7" s="344"/>
      <c r="H7" s="344"/>
      <c r="I7" s="345"/>
      <c r="J7" s="38" t="str">
        <f>IF(AND('Mapa final'!$AD$13="Muy Alta",'Mapa final'!$AF$13="Leve"),CONCATENATE("R2C",'Mapa final'!$S$13),"")</f>
        <v/>
      </c>
      <c r="K7" s="39" t="str">
        <f>IF(AND('Mapa final'!$AD$17="Muy Alta",'Mapa final'!$AF$17="Leve"),CONCATENATE("R2C",'Mapa final'!$S$17),"")</f>
        <v/>
      </c>
      <c r="L7" s="39" t="e">
        <f>IF(AND('Mapa final'!#REF!="Muy Alta",'Mapa final'!#REF!="Leve"),CONCATENATE("R2C",'Mapa final'!#REF!),"")</f>
        <v>#REF!</v>
      </c>
      <c r="M7" s="39" t="e">
        <f>IF(AND('Mapa final'!#REF!="Muy Alta",'Mapa final'!#REF!="Leve"),CONCATENATE("R2C",'Mapa final'!#REF!),"")</f>
        <v>#REF!</v>
      </c>
      <c r="N7" s="39" t="e">
        <f>IF(AND('Mapa final'!#REF!="Muy Alta",'Mapa final'!#REF!="Leve"),CONCATENATE("R2C",'Mapa final'!#REF!),"")</f>
        <v>#REF!</v>
      </c>
      <c r="O7" s="40" t="e">
        <f>IF(AND('Mapa final'!#REF!="Muy Alta",'Mapa final'!#REF!="Leve"),CONCATENATE("R2C",'Mapa final'!#REF!),"")</f>
        <v>#REF!</v>
      </c>
      <c r="P7" s="38" t="str">
        <f>IF(AND('Mapa final'!$AD$13="Muy Alta",'Mapa final'!$AF$13="Menor"),CONCATENATE("R2C",'Mapa final'!$S$13),"")</f>
        <v/>
      </c>
      <c r="Q7" s="39" t="str">
        <f>IF(AND('Mapa final'!$AD$17="Muy Alta",'Mapa final'!$AF$17="Menor"),CONCATENATE("R2C",'Mapa final'!$S$17),"")</f>
        <v/>
      </c>
      <c r="R7" s="39" t="e">
        <f>IF(AND('Mapa final'!#REF!="Muy Alta",'Mapa final'!#REF!="Menor"),CONCATENATE("R2C",'Mapa final'!#REF!),"")</f>
        <v>#REF!</v>
      </c>
      <c r="S7" s="39" t="e">
        <f>IF(AND('Mapa final'!#REF!="Muy Alta",'Mapa final'!#REF!="Menor"),CONCATENATE("R2C",'Mapa final'!#REF!),"")</f>
        <v>#REF!</v>
      </c>
      <c r="T7" s="39" t="e">
        <f>IF(AND('Mapa final'!#REF!="Muy Alta",'Mapa final'!#REF!="Menor"),CONCATENATE("R2C",'Mapa final'!#REF!),"")</f>
        <v>#REF!</v>
      </c>
      <c r="U7" s="40" t="e">
        <f>IF(AND('Mapa final'!#REF!="Muy Alta",'Mapa final'!#REF!="Menor"),CONCATENATE("R2C",'Mapa final'!#REF!),"")</f>
        <v>#REF!</v>
      </c>
      <c r="V7" s="38" t="str">
        <f>IF(AND('Mapa final'!$AD$13="Muy Alta",'Mapa final'!$AF$13="Moderado"),CONCATENATE("R2C",'Mapa final'!$S$13),"")</f>
        <v/>
      </c>
      <c r="W7" s="39" t="str">
        <f>IF(AND('Mapa final'!$AD$17="Muy Alta",'Mapa final'!$AF$17="Moderado"),CONCATENATE("R2C",'Mapa final'!$S$17),"")</f>
        <v/>
      </c>
      <c r="X7" s="39" t="e">
        <f>IF(AND('Mapa final'!#REF!="Muy Alta",'Mapa final'!#REF!="Moderado"),CONCATENATE("R2C",'Mapa final'!#REF!),"")</f>
        <v>#REF!</v>
      </c>
      <c r="Y7" s="39" t="e">
        <f>IF(AND('Mapa final'!#REF!="Muy Alta",'Mapa final'!#REF!="Moderado"),CONCATENATE("R2C",'Mapa final'!#REF!),"")</f>
        <v>#REF!</v>
      </c>
      <c r="Z7" s="39" t="e">
        <f>IF(AND('Mapa final'!#REF!="Muy Alta",'Mapa final'!#REF!="Moderado"),CONCATENATE("R2C",'Mapa final'!#REF!),"")</f>
        <v>#REF!</v>
      </c>
      <c r="AA7" s="40" t="e">
        <f>IF(AND('Mapa final'!#REF!="Muy Alta",'Mapa final'!#REF!="Moderado"),CONCATENATE("R2C",'Mapa final'!#REF!),"")</f>
        <v>#REF!</v>
      </c>
      <c r="AB7" s="38" t="str">
        <f>IF(AND('Mapa final'!$AD$13="Muy Alta",'Mapa final'!$AF$13="Mayor"),CONCATENATE("R2C",'Mapa final'!$S$13),"")</f>
        <v/>
      </c>
      <c r="AC7" s="39" t="str">
        <f>IF(AND('Mapa final'!$AD$17="Muy Alta",'Mapa final'!$AF$17="Mayor"),CONCATENATE("R2C",'Mapa final'!$S$17),"")</f>
        <v/>
      </c>
      <c r="AD7" s="39" t="e">
        <f>IF(AND('Mapa final'!#REF!="Muy Alta",'Mapa final'!#REF!="Mayor"),CONCATENATE("R2C",'Mapa final'!#REF!),"")</f>
        <v>#REF!</v>
      </c>
      <c r="AE7" s="39" t="e">
        <f>IF(AND('Mapa final'!#REF!="Muy Alta",'Mapa final'!#REF!="Mayor"),CONCATENATE("R2C",'Mapa final'!#REF!),"")</f>
        <v>#REF!</v>
      </c>
      <c r="AF7" s="39" t="e">
        <f>IF(AND('Mapa final'!#REF!="Muy Alta",'Mapa final'!#REF!="Mayor"),CONCATENATE("R2C",'Mapa final'!#REF!),"")</f>
        <v>#REF!</v>
      </c>
      <c r="AG7" s="40" t="e">
        <f>IF(AND('Mapa final'!#REF!="Muy Alta",'Mapa final'!#REF!="Mayor"),CONCATENATE("R2C",'Mapa final'!#REF!),"")</f>
        <v>#REF!</v>
      </c>
      <c r="AH7" s="41" t="str">
        <f>IF(AND('Mapa final'!$AD$13="Muy Alta",'Mapa final'!$AF$13="Catastrófico"),CONCATENATE("R2C",'Mapa final'!$S$13),"")</f>
        <v/>
      </c>
      <c r="AI7" s="42" t="str">
        <f>IF(AND('Mapa final'!$AD$17="Muy Alta",'Mapa final'!$AF$17="Catastrófico"),CONCATENATE("R2C",'Mapa final'!$S$17),"")</f>
        <v/>
      </c>
      <c r="AJ7" s="42" t="e">
        <f>IF(AND('Mapa final'!#REF!="Muy Alta",'Mapa final'!#REF!="Catastrófico"),CONCATENATE("R2C",'Mapa final'!#REF!),"")</f>
        <v>#REF!</v>
      </c>
      <c r="AK7" s="42" t="e">
        <f>IF(AND('Mapa final'!#REF!="Muy Alta",'Mapa final'!#REF!="Catastrófico"),CONCATENATE("R2C",'Mapa final'!#REF!),"")</f>
        <v>#REF!</v>
      </c>
      <c r="AL7" s="42" t="e">
        <f>IF(AND('Mapa final'!#REF!="Muy Alta",'Mapa final'!#REF!="Catastrófico"),CONCATENATE("R2C",'Mapa final'!#REF!),"")</f>
        <v>#REF!</v>
      </c>
      <c r="AM7" s="43" t="e">
        <f>IF(AND('Mapa final'!#REF!="Muy Alta",'Mapa final'!#REF!="Catastrófico"),CONCATENATE("R2C",'Mapa final'!#REF!),"")</f>
        <v>#REF!</v>
      </c>
      <c r="AN7" s="69"/>
      <c r="AO7" s="363"/>
      <c r="AP7" s="364"/>
      <c r="AQ7" s="364"/>
      <c r="AR7" s="364"/>
      <c r="AS7" s="364"/>
      <c r="AT7" s="365"/>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row>
    <row r="8" spans="1:91" ht="15" customHeight="1" x14ac:dyDescent="0.25">
      <c r="A8" s="69"/>
      <c r="B8" s="302"/>
      <c r="C8" s="302"/>
      <c r="D8" s="303"/>
      <c r="E8" s="343"/>
      <c r="F8" s="344"/>
      <c r="G8" s="344"/>
      <c r="H8" s="344"/>
      <c r="I8" s="345"/>
      <c r="J8" s="38" t="e">
        <f>IF(AND('Mapa final'!#REF!="Muy Alta",'Mapa final'!#REF!="Leve"),CONCATENATE("R3C",'Mapa final'!#REF!),"")</f>
        <v>#REF!</v>
      </c>
      <c r="K8" s="39" t="e">
        <f>IF(AND('Mapa final'!#REF!="Muy Alta",'Mapa final'!#REF!="Leve"),CONCATENATE("R3C",'Mapa final'!#REF!),"")</f>
        <v>#REF!</v>
      </c>
      <c r="L8" s="39" t="e">
        <f>IF(AND('Mapa final'!#REF!="Muy Alta",'Mapa final'!#REF!="Leve"),CONCATENATE("R3C",'Mapa final'!#REF!),"")</f>
        <v>#REF!</v>
      </c>
      <c r="M8" s="39" t="e">
        <f>IF(AND('Mapa final'!#REF!="Muy Alta",'Mapa final'!#REF!="Leve"),CONCATENATE("R3C",'Mapa final'!#REF!),"")</f>
        <v>#REF!</v>
      </c>
      <c r="N8" s="39" t="e">
        <f>IF(AND('Mapa final'!#REF!="Muy Alta",'Mapa final'!#REF!="Leve"),CONCATENATE("R3C",'Mapa final'!#REF!),"")</f>
        <v>#REF!</v>
      </c>
      <c r="O8" s="40" t="e">
        <f>IF(AND('Mapa final'!#REF!="Muy Alta",'Mapa final'!#REF!="Leve"),CONCATENATE("R3C",'Mapa final'!#REF!),"")</f>
        <v>#REF!</v>
      </c>
      <c r="P8" s="38" t="e">
        <f>IF(AND('Mapa final'!#REF!="Muy Alta",'Mapa final'!#REF!="Menor"),CONCATENATE("R3C",'Mapa final'!#REF!),"")</f>
        <v>#REF!</v>
      </c>
      <c r="Q8" s="39" t="e">
        <f>IF(AND('Mapa final'!#REF!="Muy Alta",'Mapa final'!#REF!="Menor"),CONCATENATE("R3C",'Mapa final'!#REF!),"")</f>
        <v>#REF!</v>
      </c>
      <c r="R8" s="39" t="e">
        <f>IF(AND('Mapa final'!#REF!="Muy Alta",'Mapa final'!#REF!="Menor"),CONCATENATE("R3C",'Mapa final'!#REF!),"")</f>
        <v>#REF!</v>
      </c>
      <c r="S8" s="39" t="e">
        <f>IF(AND('Mapa final'!#REF!="Muy Alta",'Mapa final'!#REF!="Menor"),CONCATENATE("R3C",'Mapa final'!#REF!),"")</f>
        <v>#REF!</v>
      </c>
      <c r="T8" s="39" t="e">
        <f>IF(AND('Mapa final'!#REF!="Muy Alta",'Mapa final'!#REF!="Menor"),CONCATENATE("R3C",'Mapa final'!#REF!),"")</f>
        <v>#REF!</v>
      </c>
      <c r="U8" s="40" t="e">
        <f>IF(AND('Mapa final'!#REF!="Muy Alta",'Mapa final'!#REF!="Menor"),CONCATENATE("R3C",'Mapa final'!#REF!),"")</f>
        <v>#REF!</v>
      </c>
      <c r="V8" s="38" t="e">
        <f>IF(AND('Mapa final'!#REF!="Muy Alta",'Mapa final'!#REF!="Moderado"),CONCATENATE("R3C",'Mapa final'!#REF!),"")</f>
        <v>#REF!</v>
      </c>
      <c r="W8" s="39" t="e">
        <f>IF(AND('Mapa final'!#REF!="Muy Alta",'Mapa final'!#REF!="Moderado"),CONCATENATE("R3C",'Mapa final'!#REF!),"")</f>
        <v>#REF!</v>
      </c>
      <c r="X8" s="39" t="e">
        <f>IF(AND('Mapa final'!#REF!="Muy Alta",'Mapa final'!#REF!="Moderado"),CONCATENATE("R3C",'Mapa final'!#REF!),"")</f>
        <v>#REF!</v>
      </c>
      <c r="Y8" s="39" t="e">
        <f>IF(AND('Mapa final'!#REF!="Muy Alta",'Mapa final'!#REF!="Moderado"),CONCATENATE("R3C",'Mapa final'!#REF!),"")</f>
        <v>#REF!</v>
      </c>
      <c r="Z8" s="39" t="e">
        <f>IF(AND('Mapa final'!#REF!="Muy Alta",'Mapa final'!#REF!="Moderado"),CONCATENATE("R3C",'Mapa final'!#REF!),"")</f>
        <v>#REF!</v>
      </c>
      <c r="AA8" s="40" t="e">
        <f>IF(AND('Mapa final'!#REF!="Muy Alta",'Mapa final'!#REF!="Moderado"),CONCATENATE("R3C",'Mapa final'!#REF!),"")</f>
        <v>#REF!</v>
      </c>
      <c r="AB8" s="38" t="e">
        <f>IF(AND('Mapa final'!#REF!="Muy Alta",'Mapa final'!#REF!="Mayor"),CONCATENATE("R3C",'Mapa final'!#REF!),"")</f>
        <v>#REF!</v>
      </c>
      <c r="AC8" s="39" t="e">
        <f>IF(AND('Mapa final'!#REF!="Muy Alta",'Mapa final'!#REF!="Mayor"),CONCATENATE("R3C",'Mapa final'!#REF!),"")</f>
        <v>#REF!</v>
      </c>
      <c r="AD8" s="39" t="e">
        <f>IF(AND('Mapa final'!#REF!="Muy Alta",'Mapa final'!#REF!="Mayor"),CONCATENATE("R3C",'Mapa final'!#REF!),"")</f>
        <v>#REF!</v>
      </c>
      <c r="AE8" s="39" t="e">
        <f>IF(AND('Mapa final'!#REF!="Muy Alta",'Mapa final'!#REF!="Mayor"),CONCATENATE("R3C",'Mapa final'!#REF!),"")</f>
        <v>#REF!</v>
      </c>
      <c r="AF8" s="39" t="e">
        <f>IF(AND('Mapa final'!#REF!="Muy Alta",'Mapa final'!#REF!="Mayor"),CONCATENATE("R3C",'Mapa final'!#REF!),"")</f>
        <v>#REF!</v>
      </c>
      <c r="AG8" s="40" t="e">
        <f>IF(AND('Mapa final'!#REF!="Muy Alta",'Mapa final'!#REF!="Mayor"),CONCATENATE("R3C",'Mapa final'!#REF!),"")</f>
        <v>#REF!</v>
      </c>
      <c r="AH8" s="41" t="e">
        <f>IF(AND('Mapa final'!#REF!="Muy Alta",'Mapa final'!#REF!="Catastrófico"),CONCATENATE("R3C",'Mapa final'!#REF!),"")</f>
        <v>#REF!</v>
      </c>
      <c r="AI8" s="42" t="e">
        <f>IF(AND('Mapa final'!#REF!="Muy Alta",'Mapa final'!#REF!="Catastrófico"),CONCATENATE("R3C",'Mapa final'!#REF!),"")</f>
        <v>#REF!</v>
      </c>
      <c r="AJ8" s="42" t="e">
        <f>IF(AND('Mapa final'!#REF!="Muy Alta",'Mapa final'!#REF!="Catastrófico"),CONCATENATE("R3C",'Mapa final'!#REF!),"")</f>
        <v>#REF!</v>
      </c>
      <c r="AK8" s="42" t="e">
        <f>IF(AND('Mapa final'!#REF!="Muy Alta",'Mapa final'!#REF!="Catastrófico"),CONCATENATE("R3C",'Mapa final'!#REF!),"")</f>
        <v>#REF!</v>
      </c>
      <c r="AL8" s="42" t="e">
        <f>IF(AND('Mapa final'!#REF!="Muy Alta",'Mapa final'!#REF!="Catastrófico"),CONCATENATE("R3C",'Mapa final'!#REF!),"")</f>
        <v>#REF!</v>
      </c>
      <c r="AM8" s="43" t="e">
        <f>IF(AND('Mapa final'!#REF!="Muy Alta",'Mapa final'!#REF!="Catastrófico"),CONCATENATE("R3C",'Mapa final'!#REF!),"")</f>
        <v>#REF!</v>
      </c>
      <c r="AN8" s="69"/>
      <c r="AO8" s="363"/>
      <c r="AP8" s="364"/>
      <c r="AQ8" s="364"/>
      <c r="AR8" s="364"/>
      <c r="AS8" s="364"/>
      <c r="AT8" s="365"/>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row>
    <row r="9" spans="1:91" ht="15" customHeight="1" x14ac:dyDescent="0.25">
      <c r="A9" s="69"/>
      <c r="B9" s="302"/>
      <c r="C9" s="302"/>
      <c r="D9" s="303"/>
      <c r="E9" s="343"/>
      <c r="F9" s="344"/>
      <c r="G9" s="344"/>
      <c r="H9" s="344"/>
      <c r="I9" s="345"/>
      <c r="J9" s="38" t="e">
        <f>IF(AND('Mapa final'!#REF!="Muy Alta",'Mapa final'!#REF!="Leve"),CONCATENATE("R4C",'Mapa final'!#REF!),"")</f>
        <v>#REF!</v>
      </c>
      <c r="K9" s="39" t="e">
        <f>IF(AND('Mapa final'!#REF!="Muy Alta",'Mapa final'!#REF!="Leve"),CONCATENATE("R4C",'Mapa final'!#REF!),"")</f>
        <v>#REF!</v>
      </c>
      <c r="L9" s="39" t="e">
        <f>IF(AND('Mapa final'!#REF!="Muy Alta",'Mapa final'!#REF!="Leve"),CONCATENATE("R4C",'Mapa final'!#REF!),"")</f>
        <v>#REF!</v>
      </c>
      <c r="M9" s="39" t="e">
        <f>IF(AND('Mapa final'!#REF!="Muy Alta",'Mapa final'!#REF!="Leve"),CONCATENATE("R4C",'Mapa final'!#REF!),"")</f>
        <v>#REF!</v>
      </c>
      <c r="N9" s="39" t="e">
        <f>IF(AND('Mapa final'!#REF!="Muy Alta",'Mapa final'!#REF!="Leve"),CONCATENATE("R4C",'Mapa final'!#REF!),"")</f>
        <v>#REF!</v>
      </c>
      <c r="O9" s="40" t="e">
        <f>IF(AND('Mapa final'!#REF!="Muy Alta",'Mapa final'!#REF!="Leve"),CONCATENATE("R4C",'Mapa final'!#REF!),"")</f>
        <v>#REF!</v>
      </c>
      <c r="P9" s="38" t="e">
        <f>IF(AND('Mapa final'!#REF!="Muy Alta",'Mapa final'!#REF!="Menor"),CONCATENATE("R4C",'Mapa final'!#REF!),"")</f>
        <v>#REF!</v>
      </c>
      <c r="Q9" s="39" t="e">
        <f>IF(AND('Mapa final'!#REF!="Muy Alta",'Mapa final'!#REF!="Menor"),CONCATENATE("R4C",'Mapa final'!#REF!),"")</f>
        <v>#REF!</v>
      </c>
      <c r="R9" s="39" t="e">
        <f>IF(AND('Mapa final'!#REF!="Muy Alta",'Mapa final'!#REF!="Menor"),CONCATENATE("R4C",'Mapa final'!#REF!),"")</f>
        <v>#REF!</v>
      </c>
      <c r="S9" s="39" t="e">
        <f>IF(AND('Mapa final'!#REF!="Muy Alta",'Mapa final'!#REF!="Menor"),CONCATENATE("R4C",'Mapa final'!#REF!),"")</f>
        <v>#REF!</v>
      </c>
      <c r="T9" s="39" t="e">
        <f>IF(AND('Mapa final'!#REF!="Muy Alta",'Mapa final'!#REF!="Menor"),CONCATENATE("R4C",'Mapa final'!#REF!),"")</f>
        <v>#REF!</v>
      </c>
      <c r="U9" s="40" t="e">
        <f>IF(AND('Mapa final'!#REF!="Muy Alta",'Mapa final'!#REF!="Menor"),CONCATENATE("R4C",'Mapa final'!#REF!),"")</f>
        <v>#REF!</v>
      </c>
      <c r="V9" s="38" t="e">
        <f>IF(AND('Mapa final'!#REF!="Muy Alta",'Mapa final'!#REF!="Moderado"),CONCATENATE("R4C",'Mapa final'!#REF!),"")</f>
        <v>#REF!</v>
      </c>
      <c r="W9" s="39" t="e">
        <f>IF(AND('Mapa final'!#REF!="Muy Alta",'Mapa final'!#REF!="Moderado"),CONCATENATE("R4C",'Mapa final'!#REF!),"")</f>
        <v>#REF!</v>
      </c>
      <c r="X9" s="39" t="e">
        <f>IF(AND('Mapa final'!#REF!="Muy Alta",'Mapa final'!#REF!="Moderado"),CONCATENATE("R4C",'Mapa final'!#REF!),"")</f>
        <v>#REF!</v>
      </c>
      <c r="Y9" s="39" t="e">
        <f>IF(AND('Mapa final'!#REF!="Muy Alta",'Mapa final'!#REF!="Moderado"),CONCATENATE("R4C",'Mapa final'!#REF!),"")</f>
        <v>#REF!</v>
      </c>
      <c r="Z9" s="39" t="e">
        <f>IF(AND('Mapa final'!#REF!="Muy Alta",'Mapa final'!#REF!="Moderado"),CONCATENATE("R4C",'Mapa final'!#REF!),"")</f>
        <v>#REF!</v>
      </c>
      <c r="AA9" s="40" t="e">
        <f>IF(AND('Mapa final'!#REF!="Muy Alta",'Mapa final'!#REF!="Moderado"),CONCATENATE("R4C",'Mapa final'!#REF!),"")</f>
        <v>#REF!</v>
      </c>
      <c r="AB9" s="38" t="e">
        <f>IF(AND('Mapa final'!#REF!="Muy Alta",'Mapa final'!#REF!="Mayor"),CONCATENATE("R4C",'Mapa final'!#REF!),"")</f>
        <v>#REF!</v>
      </c>
      <c r="AC9" s="39" t="e">
        <f>IF(AND('Mapa final'!#REF!="Muy Alta",'Mapa final'!#REF!="Mayor"),CONCATENATE("R4C",'Mapa final'!#REF!),"")</f>
        <v>#REF!</v>
      </c>
      <c r="AD9" s="39" t="e">
        <f>IF(AND('Mapa final'!#REF!="Muy Alta",'Mapa final'!#REF!="Mayor"),CONCATENATE("R4C",'Mapa final'!#REF!),"")</f>
        <v>#REF!</v>
      </c>
      <c r="AE9" s="39" t="e">
        <f>IF(AND('Mapa final'!#REF!="Muy Alta",'Mapa final'!#REF!="Mayor"),CONCATENATE("R4C",'Mapa final'!#REF!),"")</f>
        <v>#REF!</v>
      </c>
      <c r="AF9" s="39" t="e">
        <f>IF(AND('Mapa final'!#REF!="Muy Alta",'Mapa final'!#REF!="Mayor"),CONCATENATE("R4C",'Mapa final'!#REF!),"")</f>
        <v>#REF!</v>
      </c>
      <c r="AG9" s="40" t="e">
        <f>IF(AND('Mapa final'!#REF!="Muy Alta",'Mapa final'!#REF!="Mayor"),CONCATENATE("R4C",'Mapa final'!#REF!),"")</f>
        <v>#REF!</v>
      </c>
      <c r="AH9" s="41" t="e">
        <f>IF(AND('Mapa final'!#REF!="Muy Alta",'Mapa final'!#REF!="Catastrófico"),CONCATENATE("R4C",'Mapa final'!#REF!),"")</f>
        <v>#REF!</v>
      </c>
      <c r="AI9" s="42" t="e">
        <f>IF(AND('Mapa final'!#REF!="Muy Alta",'Mapa final'!#REF!="Catastrófico"),CONCATENATE("R4C",'Mapa final'!#REF!),"")</f>
        <v>#REF!</v>
      </c>
      <c r="AJ9" s="42" t="e">
        <f>IF(AND('Mapa final'!#REF!="Muy Alta",'Mapa final'!#REF!="Catastrófico"),CONCATENATE("R4C",'Mapa final'!#REF!),"")</f>
        <v>#REF!</v>
      </c>
      <c r="AK9" s="42" t="e">
        <f>IF(AND('Mapa final'!#REF!="Muy Alta",'Mapa final'!#REF!="Catastrófico"),CONCATENATE("R4C",'Mapa final'!#REF!),"")</f>
        <v>#REF!</v>
      </c>
      <c r="AL9" s="42" t="e">
        <f>IF(AND('Mapa final'!#REF!="Muy Alta",'Mapa final'!#REF!="Catastrófico"),CONCATENATE("R4C",'Mapa final'!#REF!),"")</f>
        <v>#REF!</v>
      </c>
      <c r="AM9" s="43" t="e">
        <f>IF(AND('Mapa final'!#REF!="Muy Alta",'Mapa final'!#REF!="Catastrófico"),CONCATENATE("R4C",'Mapa final'!#REF!),"")</f>
        <v>#REF!</v>
      </c>
      <c r="AN9" s="69"/>
      <c r="AO9" s="363"/>
      <c r="AP9" s="364"/>
      <c r="AQ9" s="364"/>
      <c r="AR9" s="364"/>
      <c r="AS9" s="364"/>
      <c r="AT9" s="365"/>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row>
    <row r="10" spans="1:91" ht="15" customHeight="1" x14ac:dyDescent="0.25">
      <c r="A10" s="69"/>
      <c r="B10" s="302"/>
      <c r="C10" s="302"/>
      <c r="D10" s="303"/>
      <c r="E10" s="343"/>
      <c r="F10" s="344"/>
      <c r="G10" s="344"/>
      <c r="H10" s="344"/>
      <c r="I10" s="345"/>
      <c r="J10" s="38" t="e">
        <f>IF(AND('Mapa final'!#REF!="Muy Alta",'Mapa final'!#REF!="Leve"),CONCATENATE("R5C",'Mapa final'!#REF!),"")</f>
        <v>#REF!</v>
      </c>
      <c r="K10" s="39" t="e">
        <f>IF(AND('Mapa final'!#REF!="Muy Alta",'Mapa final'!#REF!="Leve"),CONCATENATE("R5C",'Mapa final'!#REF!),"")</f>
        <v>#REF!</v>
      </c>
      <c r="L10" s="39" t="e">
        <f>IF(AND('Mapa final'!#REF!="Muy Alta",'Mapa final'!#REF!="Leve"),CONCATENATE("R5C",'Mapa final'!#REF!),"")</f>
        <v>#REF!</v>
      </c>
      <c r="M10" s="39" t="e">
        <f>IF(AND('Mapa final'!#REF!="Muy Alta",'Mapa final'!#REF!="Leve"),CONCATENATE("R5C",'Mapa final'!#REF!),"")</f>
        <v>#REF!</v>
      </c>
      <c r="N10" s="39" t="e">
        <f>IF(AND('Mapa final'!#REF!="Muy Alta",'Mapa final'!#REF!="Leve"),CONCATENATE("R5C",'Mapa final'!#REF!),"")</f>
        <v>#REF!</v>
      </c>
      <c r="O10" s="40" t="e">
        <f>IF(AND('Mapa final'!#REF!="Muy Alta",'Mapa final'!#REF!="Leve"),CONCATENATE("R5C",'Mapa final'!#REF!),"")</f>
        <v>#REF!</v>
      </c>
      <c r="P10" s="38" t="e">
        <f>IF(AND('Mapa final'!#REF!="Muy Alta",'Mapa final'!#REF!="Menor"),CONCATENATE("R5C",'Mapa final'!#REF!),"")</f>
        <v>#REF!</v>
      </c>
      <c r="Q10" s="39" t="e">
        <f>IF(AND('Mapa final'!#REF!="Muy Alta",'Mapa final'!#REF!="Menor"),CONCATENATE("R5C",'Mapa final'!#REF!),"")</f>
        <v>#REF!</v>
      </c>
      <c r="R10" s="39" t="e">
        <f>IF(AND('Mapa final'!#REF!="Muy Alta",'Mapa final'!#REF!="Menor"),CONCATENATE("R5C",'Mapa final'!#REF!),"")</f>
        <v>#REF!</v>
      </c>
      <c r="S10" s="39" t="e">
        <f>IF(AND('Mapa final'!#REF!="Muy Alta",'Mapa final'!#REF!="Menor"),CONCATENATE("R5C",'Mapa final'!#REF!),"")</f>
        <v>#REF!</v>
      </c>
      <c r="T10" s="39" t="e">
        <f>IF(AND('Mapa final'!#REF!="Muy Alta",'Mapa final'!#REF!="Menor"),CONCATENATE("R5C",'Mapa final'!#REF!),"")</f>
        <v>#REF!</v>
      </c>
      <c r="U10" s="40" t="e">
        <f>IF(AND('Mapa final'!#REF!="Muy Alta",'Mapa final'!#REF!="Menor"),CONCATENATE("R5C",'Mapa final'!#REF!),"")</f>
        <v>#REF!</v>
      </c>
      <c r="V10" s="38" t="e">
        <f>IF(AND('Mapa final'!#REF!="Muy Alta",'Mapa final'!#REF!="Moderado"),CONCATENATE("R5C",'Mapa final'!#REF!),"")</f>
        <v>#REF!</v>
      </c>
      <c r="W10" s="39" t="e">
        <f>IF(AND('Mapa final'!#REF!="Muy Alta",'Mapa final'!#REF!="Moderado"),CONCATENATE("R5C",'Mapa final'!#REF!),"")</f>
        <v>#REF!</v>
      </c>
      <c r="X10" s="39" t="e">
        <f>IF(AND('Mapa final'!#REF!="Muy Alta",'Mapa final'!#REF!="Moderado"),CONCATENATE("R5C",'Mapa final'!#REF!),"")</f>
        <v>#REF!</v>
      </c>
      <c r="Y10" s="39" t="e">
        <f>IF(AND('Mapa final'!#REF!="Muy Alta",'Mapa final'!#REF!="Moderado"),CONCATENATE("R5C",'Mapa final'!#REF!),"")</f>
        <v>#REF!</v>
      </c>
      <c r="Z10" s="39" t="e">
        <f>IF(AND('Mapa final'!#REF!="Muy Alta",'Mapa final'!#REF!="Moderado"),CONCATENATE("R5C",'Mapa final'!#REF!),"")</f>
        <v>#REF!</v>
      </c>
      <c r="AA10" s="40" t="e">
        <f>IF(AND('Mapa final'!#REF!="Muy Alta",'Mapa final'!#REF!="Moderado"),CONCATENATE("R5C",'Mapa final'!#REF!),"")</f>
        <v>#REF!</v>
      </c>
      <c r="AB10" s="38" t="e">
        <f>IF(AND('Mapa final'!#REF!="Muy Alta",'Mapa final'!#REF!="Mayor"),CONCATENATE("R5C",'Mapa final'!#REF!),"")</f>
        <v>#REF!</v>
      </c>
      <c r="AC10" s="39" t="e">
        <f>IF(AND('Mapa final'!#REF!="Muy Alta",'Mapa final'!#REF!="Mayor"),CONCATENATE("R5C",'Mapa final'!#REF!),"")</f>
        <v>#REF!</v>
      </c>
      <c r="AD10" s="39" t="e">
        <f>IF(AND('Mapa final'!#REF!="Muy Alta",'Mapa final'!#REF!="Mayor"),CONCATENATE("R5C",'Mapa final'!#REF!),"")</f>
        <v>#REF!</v>
      </c>
      <c r="AE10" s="39" t="e">
        <f>IF(AND('Mapa final'!#REF!="Muy Alta",'Mapa final'!#REF!="Mayor"),CONCATENATE("R5C",'Mapa final'!#REF!),"")</f>
        <v>#REF!</v>
      </c>
      <c r="AF10" s="39" t="e">
        <f>IF(AND('Mapa final'!#REF!="Muy Alta",'Mapa final'!#REF!="Mayor"),CONCATENATE("R5C",'Mapa final'!#REF!),"")</f>
        <v>#REF!</v>
      </c>
      <c r="AG10" s="40" t="e">
        <f>IF(AND('Mapa final'!#REF!="Muy Alta",'Mapa final'!#REF!="Mayor"),CONCATENATE("R5C",'Mapa final'!#REF!),"")</f>
        <v>#REF!</v>
      </c>
      <c r="AH10" s="41" t="e">
        <f>IF(AND('Mapa final'!#REF!="Muy Alta",'Mapa final'!#REF!="Catastrófico"),CONCATENATE("R5C",'Mapa final'!#REF!),"")</f>
        <v>#REF!</v>
      </c>
      <c r="AI10" s="42" t="e">
        <f>IF(AND('Mapa final'!#REF!="Muy Alta",'Mapa final'!#REF!="Catastrófico"),CONCATENATE("R5C",'Mapa final'!#REF!),"")</f>
        <v>#REF!</v>
      </c>
      <c r="AJ10" s="42" t="e">
        <f>IF(AND('Mapa final'!#REF!="Muy Alta",'Mapa final'!#REF!="Catastrófico"),CONCATENATE("R5C",'Mapa final'!#REF!),"")</f>
        <v>#REF!</v>
      </c>
      <c r="AK10" s="42" t="e">
        <f>IF(AND('Mapa final'!#REF!="Muy Alta",'Mapa final'!#REF!="Catastrófico"),CONCATENATE("R5C",'Mapa final'!#REF!),"")</f>
        <v>#REF!</v>
      </c>
      <c r="AL10" s="42" t="e">
        <f>IF(AND('Mapa final'!#REF!="Muy Alta",'Mapa final'!#REF!="Catastrófico"),CONCATENATE("R5C",'Mapa final'!#REF!),"")</f>
        <v>#REF!</v>
      </c>
      <c r="AM10" s="43" t="e">
        <f>IF(AND('Mapa final'!#REF!="Muy Alta",'Mapa final'!#REF!="Catastrófico"),CONCATENATE("R5C",'Mapa final'!#REF!),"")</f>
        <v>#REF!</v>
      </c>
      <c r="AN10" s="69"/>
      <c r="AO10" s="363"/>
      <c r="AP10" s="364"/>
      <c r="AQ10" s="364"/>
      <c r="AR10" s="364"/>
      <c r="AS10" s="364"/>
      <c r="AT10" s="365"/>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row>
    <row r="11" spans="1:91" ht="15" customHeight="1" x14ac:dyDescent="0.25">
      <c r="A11" s="69"/>
      <c r="B11" s="302"/>
      <c r="C11" s="302"/>
      <c r="D11" s="303"/>
      <c r="E11" s="343"/>
      <c r="F11" s="344"/>
      <c r="G11" s="344"/>
      <c r="H11" s="344"/>
      <c r="I11" s="345"/>
      <c r="J11" s="38" t="e">
        <f>IF(AND('Mapa final'!#REF!="Muy Alta",'Mapa final'!#REF!="Leve"),CONCATENATE("R6C",'Mapa final'!#REF!),"")</f>
        <v>#REF!</v>
      </c>
      <c r="K11" s="39" t="e">
        <f>IF(AND('Mapa final'!#REF!="Muy Alta",'Mapa final'!#REF!="Leve"),CONCATENATE("R6C",'Mapa final'!#REF!),"")</f>
        <v>#REF!</v>
      </c>
      <c r="L11" s="39" t="e">
        <f>IF(AND('Mapa final'!#REF!="Muy Alta",'Mapa final'!#REF!="Leve"),CONCATENATE("R6C",'Mapa final'!#REF!),"")</f>
        <v>#REF!</v>
      </c>
      <c r="M11" s="39" t="e">
        <f>IF(AND('Mapa final'!#REF!="Muy Alta",'Mapa final'!#REF!="Leve"),CONCATENATE("R6C",'Mapa final'!#REF!),"")</f>
        <v>#REF!</v>
      </c>
      <c r="N11" s="39" t="e">
        <f>IF(AND('Mapa final'!#REF!="Muy Alta",'Mapa final'!#REF!="Leve"),CONCATENATE("R6C",'Mapa final'!#REF!),"")</f>
        <v>#REF!</v>
      </c>
      <c r="O11" s="40" t="e">
        <f>IF(AND('Mapa final'!#REF!="Muy Alta",'Mapa final'!#REF!="Leve"),CONCATENATE("R6C",'Mapa final'!#REF!),"")</f>
        <v>#REF!</v>
      </c>
      <c r="P11" s="38" t="e">
        <f>IF(AND('Mapa final'!#REF!="Muy Alta",'Mapa final'!#REF!="Menor"),CONCATENATE("R6C",'Mapa final'!#REF!),"")</f>
        <v>#REF!</v>
      </c>
      <c r="Q11" s="39" t="e">
        <f>IF(AND('Mapa final'!#REF!="Muy Alta",'Mapa final'!#REF!="Menor"),CONCATENATE("R6C",'Mapa final'!#REF!),"")</f>
        <v>#REF!</v>
      </c>
      <c r="R11" s="39" t="e">
        <f>IF(AND('Mapa final'!#REF!="Muy Alta",'Mapa final'!#REF!="Menor"),CONCATENATE("R6C",'Mapa final'!#REF!),"")</f>
        <v>#REF!</v>
      </c>
      <c r="S11" s="39" t="e">
        <f>IF(AND('Mapa final'!#REF!="Muy Alta",'Mapa final'!#REF!="Menor"),CONCATENATE("R6C",'Mapa final'!#REF!),"")</f>
        <v>#REF!</v>
      </c>
      <c r="T11" s="39" t="e">
        <f>IF(AND('Mapa final'!#REF!="Muy Alta",'Mapa final'!#REF!="Menor"),CONCATENATE("R6C",'Mapa final'!#REF!),"")</f>
        <v>#REF!</v>
      </c>
      <c r="U11" s="40" t="e">
        <f>IF(AND('Mapa final'!#REF!="Muy Alta",'Mapa final'!#REF!="Menor"),CONCATENATE("R6C",'Mapa final'!#REF!),"")</f>
        <v>#REF!</v>
      </c>
      <c r="V11" s="38" t="e">
        <f>IF(AND('Mapa final'!#REF!="Muy Alta",'Mapa final'!#REF!="Moderado"),CONCATENATE("R6C",'Mapa final'!#REF!),"")</f>
        <v>#REF!</v>
      </c>
      <c r="W11" s="39" t="e">
        <f>IF(AND('Mapa final'!#REF!="Muy Alta",'Mapa final'!#REF!="Moderado"),CONCATENATE("R6C",'Mapa final'!#REF!),"")</f>
        <v>#REF!</v>
      </c>
      <c r="X11" s="39" t="e">
        <f>IF(AND('Mapa final'!#REF!="Muy Alta",'Mapa final'!#REF!="Moderado"),CONCATENATE("R6C",'Mapa final'!#REF!),"")</f>
        <v>#REF!</v>
      </c>
      <c r="Y11" s="39" t="e">
        <f>IF(AND('Mapa final'!#REF!="Muy Alta",'Mapa final'!#REF!="Moderado"),CONCATENATE("R6C",'Mapa final'!#REF!),"")</f>
        <v>#REF!</v>
      </c>
      <c r="Z11" s="39" t="e">
        <f>IF(AND('Mapa final'!#REF!="Muy Alta",'Mapa final'!#REF!="Moderado"),CONCATENATE("R6C",'Mapa final'!#REF!),"")</f>
        <v>#REF!</v>
      </c>
      <c r="AA11" s="40" t="e">
        <f>IF(AND('Mapa final'!#REF!="Muy Alta",'Mapa final'!#REF!="Moderado"),CONCATENATE("R6C",'Mapa final'!#REF!),"")</f>
        <v>#REF!</v>
      </c>
      <c r="AB11" s="38" t="e">
        <f>IF(AND('Mapa final'!#REF!="Muy Alta",'Mapa final'!#REF!="Mayor"),CONCATENATE("R6C",'Mapa final'!#REF!),"")</f>
        <v>#REF!</v>
      </c>
      <c r="AC11" s="39" t="e">
        <f>IF(AND('Mapa final'!#REF!="Muy Alta",'Mapa final'!#REF!="Mayor"),CONCATENATE("R6C",'Mapa final'!#REF!),"")</f>
        <v>#REF!</v>
      </c>
      <c r="AD11" s="39" t="e">
        <f>IF(AND('Mapa final'!#REF!="Muy Alta",'Mapa final'!#REF!="Mayor"),CONCATENATE("R6C",'Mapa final'!#REF!),"")</f>
        <v>#REF!</v>
      </c>
      <c r="AE11" s="39" t="e">
        <f>IF(AND('Mapa final'!#REF!="Muy Alta",'Mapa final'!#REF!="Mayor"),CONCATENATE("R6C",'Mapa final'!#REF!),"")</f>
        <v>#REF!</v>
      </c>
      <c r="AF11" s="39" t="e">
        <f>IF(AND('Mapa final'!#REF!="Muy Alta",'Mapa final'!#REF!="Mayor"),CONCATENATE("R6C",'Mapa final'!#REF!),"")</f>
        <v>#REF!</v>
      </c>
      <c r="AG11" s="40" t="e">
        <f>IF(AND('Mapa final'!#REF!="Muy Alta",'Mapa final'!#REF!="Mayor"),CONCATENATE("R6C",'Mapa final'!#REF!),"")</f>
        <v>#REF!</v>
      </c>
      <c r="AH11" s="41" t="e">
        <f>IF(AND('Mapa final'!#REF!="Muy Alta",'Mapa final'!#REF!="Catastrófico"),CONCATENATE("R6C",'Mapa final'!#REF!),"")</f>
        <v>#REF!</v>
      </c>
      <c r="AI11" s="42" t="e">
        <f>IF(AND('Mapa final'!#REF!="Muy Alta",'Mapa final'!#REF!="Catastrófico"),CONCATENATE("R6C",'Mapa final'!#REF!),"")</f>
        <v>#REF!</v>
      </c>
      <c r="AJ11" s="42" t="e">
        <f>IF(AND('Mapa final'!#REF!="Muy Alta",'Mapa final'!#REF!="Catastrófico"),CONCATENATE("R6C",'Mapa final'!#REF!),"")</f>
        <v>#REF!</v>
      </c>
      <c r="AK11" s="42" t="e">
        <f>IF(AND('Mapa final'!#REF!="Muy Alta",'Mapa final'!#REF!="Catastrófico"),CONCATENATE("R6C",'Mapa final'!#REF!),"")</f>
        <v>#REF!</v>
      </c>
      <c r="AL11" s="42" t="e">
        <f>IF(AND('Mapa final'!#REF!="Muy Alta",'Mapa final'!#REF!="Catastrófico"),CONCATENATE("R6C",'Mapa final'!#REF!),"")</f>
        <v>#REF!</v>
      </c>
      <c r="AM11" s="43" t="e">
        <f>IF(AND('Mapa final'!#REF!="Muy Alta",'Mapa final'!#REF!="Catastrófico"),CONCATENATE("R6C",'Mapa final'!#REF!),"")</f>
        <v>#REF!</v>
      </c>
      <c r="AN11" s="69"/>
      <c r="AO11" s="363"/>
      <c r="AP11" s="364"/>
      <c r="AQ11" s="364"/>
      <c r="AR11" s="364"/>
      <c r="AS11" s="364"/>
      <c r="AT11" s="365"/>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91" ht="15" customHeight="1" x14ac:dyDescent="0.25">
      <c r="A12" s="69"/>
      <c r="B12" s="302"/>
      <c r="C12" s="302"/>
      <c r="D12" s="303"/>
      <c r="E12" s="343"/>
      <c r="F12" s="344"/>
      <c r="G12" s="344"/>
      <c r="H12" s="344"/>
      <c r="I12" s="345"/>
      <c r="J12" s="38" t="e">
        <f>IF(AND('Mapa final'!#REF!="Muy Alta",'Mapa final'!#REF!="Leve"),CONCATENATE("R7C",'Mapa final'!#REF!),"")</f>
        <v>#REF!</v>
      </c>
      <c r="K12" s="39" t="e">
        <f>IF(AND('Mapa final'!#REF!="Muy Alta",'Mapa final'!#REF!="Leve"),CONCATENATE("R7C",'Mapa final'!#REF!),"")</f>
        <v>#REF!</v>
      </c>
      <c r="L12" s="39" t="e">
        <f>IF(AND('Mapa final'!#REF!="Muy Alta",'Mapa final'!#REF!="Leve"),CONCATENATE("R7C",'Mapa final'!#REF!),"")</f>
        <v>#REF!</v>
      </c>
      <c r="M12" s="39" t="e">
        <f>IF(AND('Mapa final'!#REF!="Muy Alta",'Mapa final'!#REF!="Leve"),CONCATENATE("R7C",'Mapa final'!#REF!),"")</f>
        <v>#REF!</v>
      </c>
      <c r="N12" s="39" t="e">
        <f>IF(AND('Mapa final'!#REF!="Muy Alta",'Mapa final'!#REF!="Leve"),CONCATENATE("R7C",'Mapa final'!#REF!),"")</f>
        <v>#REF!</v>
      </c>
      <c r="O12" s="40" t="e">
        <f>IF(AND('Mapa final'!#REF!="Muy Alta",'Mapa final'!#REF!="Leve"),CONCATENATE("R7C",'Mapa final'!#REF!),"")</f>
        <v>#REF!</v>
      </c>
      <c r="P12" s="38" t="e">
        <f>IF(AND('Mapa final'!#REF!="Muy Alta",'Mapa final'!#REF!="Menor"),CONCATENATE("R7C",'Mapa final'!#REF!),"")</f>
        <v>#REF!</v>
      </c>
      <c r="Q12" s="39" t="e">
        <f>IF(AND('Mapa final'!#REF!="Muy Alta",'Mapa final'!#REF!="Menor"),CONCATENATE("R7C",'Mapa final'!#REF!),"")</f>
        <v>#REF!</v>
      </c>
      <c r="R12" s="39" t="e">
        <f>IF(AND('Mapa final'!#REF!="Muy Alta",'Mapa final'!#REF!="Menor"),CONCATENATE("R7C",'Mapa final'!#REF!),"")</f>
        <v>#REF!</v>
      </c>
      <c r="S12" s="39" t="e">
        <f>IF(AND('Mapa final'!#REF!="Muy Alta",'Mapa final'!#REF!="Menor"),CONCATENATE("R7C",'Mapa final'!#REF!),"")</f>
        <v>#REF!</v>
      </c>
      <c r="T12" s="39" t="e">
        <f>IF(AND('Mapa final'!#REF!="Muy Alta",'Mapa final'!#REF!="Menor"),CONCATENATE("R7C",'Mapa final'!#REF!),"")</f>
        <v>#REF!</v>
      </c>
      <c r="U12" s="40" t="e">
        <f>IF(AND('Mapa final'!#REF!="Muy Alta",'Mapa final'!#REF!="Menor"),CONCATENATE("R7C",'Mapa final'!#REF!),"")</f>
        <v>#REF!</v>
      </c>
      <c r="V12" s="38" t="e">
        <f>IF(AND('Mapa final'!#REF!="Muy Alta",'Mapa final'!#REF!="Moderado"),CONCATENATE("R7C",'Mapa final'!#REF!),"")</f>
        <v>#REF!</v>
      </c>
      <c r="W12" s="39" t="e">
        <f>IF(AND('Mapa final'!#REF!="Muy Alta",'Mapa final'!#REF!="Moderado"),CONCATENATE("R7C",'Mapa final'!#REF!),"")</f>
        <v>#REF!</v>
      </c>
      <c r="X12" s="39" t="e">
        <f>IF(AND('Mapa final'!#REF!="Muy Alta",'Mapa final'!#REF!="Moderado"),CONCATENATE("R7C",'Mapa final'!#REF!),"")</f>
        <v>#REF!</v>
      </c>
      <c r="Y12" s="39" t="e">
        <f>IF(AND('Mapa final'!#REF!="Muy Alta",'Mapa final'!#REF!="Moderado"),CONCATENATE("R7C",'Mapa final'!#REF!),"")</f>
        <v>#REF!</v>
      </c>
      <c r="Z12" s="39" t="e">
        <f>IF(AND('Mapa final'!#REF!="Muy Alta",'Mapa final'!#REF!="Moderado"),CONCATENATE("R7C",'Mapa final'!#REF!),"")</f>
        <v>#REF!</v>
      </c>
      <c r="AA12" s="40" t="e">
        <f>IF(AND('Mapa final'!#REF!="Muy Alta",'Mapa final'!#REF!="Moderado"),CONCATENATE("R7C",'Mapa final'!#REF!),"")</f>
        <v>#REF!</v>
      </c>
      <c r="AB12" s="38" t="e">
        <f>IF(AND('Mapa final'!#REF!="Muy Alta",'Mapa final'!#REF!="Mayor"),CONCATENATE("R7C",'Mapa final'!#REF!),"")</f>
        <v>#REF!</v>
      </c>
      <c r="AC12" s="39" t="e">
        <f>IF(AND('Mapa final'!#REF!="Muy Alta",'Mapa final'!#REF!="Mayor"),CONCATENATE("R7C",'Mapa final'!#REF!),"")</f>
        <v>#REF!</v>
      </c>
      <c r="AD12" s="39" t="e">
        <f>IF(AND('Mapa final'!#REF!="Muy Alta",'Mapa final'!#REF!="Mayor"),CONCATENATE("R7C",'Mapa final'!#REF!),"")</f>
        <v>#REF!</v>
      </c>
      <c r="AE12" s="39" t="e">
        <f>IF(AND('Mapa final'!#REF!="Muy Alta",'Mapa final'!#REF!="Mayor"),CONCATENATE("R7C",'Mapa final'!#REF!),"")</f>
        <v>#REF!</v>
      </c>
      <c r="AF12" s="39" t="e">
        <f>IF(AND('Mapa final'!#REF!="Muy Alta",'Mapa final'!#REF!="Mayor"),CONCATENATE("R7C",'Mapa final'!#REF!),"")</f>
        <v>#REF!</v>
      </c>
      <c r="AG12" s="40" t="e">
        <f>IF(AND('Mapa final'!#REF!="Muy Alta",'Mapa final'!#REF!="Mayor"),CONCATENATE("R7C",'Mapa final'!#REF!),"")</f>
        <v>#REF!</v>
      </c>
      <c r="AH12" s="41" t="e">
        <f>IF(AND('Mapa final'!#REF!="Muy Alta",'Mapa final'!#REF!="Catastrófico"),CONCATENATE("R7C",'Mapa final'!#REF!),"")</f>
        <v>#REF!</v>
      </c>
      <c r="AI12" s="42" t="e">
        <f>IF(AND('Mapa final'!#REF!="Muy Alta",'Mapa final'!#REF!="Catastrófico"),CONCATENATE("R7C",'Mapa final'!#REF!),"")</f>
        <v>#REF!</v>
      </c>
      <c r="AJ12" s="42" t="e">
        <f>IF(AND('Mapa final'!#REF!="Muy Alta",'Mapa final'!#REF!="Catastrófico"),CONCATENATE("R7C",'Mapa final'!#REF!),"")</f>
        <v>#REF!</v>
      </c>
      <c r="AK12" s="42" t="e">
        <f>IF(AND('Mapa final'!#REF!="Muy Alta",'Mapa final'!#REF!="Catastrófico"),CONCATENATE("R7C",'Mapa final'!#REF!),"")</f>
        <v>#REF!</v>
      </c>
      <c r="AL12" s="42" t="e">
        <f>IF(AND('Mapa final'!#REF!="Muy Alta",'Mapa final'!#REF!="Catastrófico"),CONCATENATE("R7C",'Mapa final'!#REF!),"")</f>
        <v>#REF!</v>
      </c>
      <c r="AM12" s="43" t="e">
        <f>IF(AND('Mapa final'!#REF!="Muy Alta",'Mapa final'!#REF!="Catastrófico"),CONCATENATE("R7C",'Mapa final'!#REF!),"")</f>
        <v>#REF!</v>
      </c>
      <c r="AN12" s="69"/>
      <c r="AO12" s="363"/>
      <c r="AP12" s="364"/>
      <c r="AQ12" s="364"/>
      <c r="AR12" s="364"/>
      <c r="AS12" s="364"/>
      <c r="AT12" s="365"/>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row>
    <row r="13" spans="1:91" ht="15" customHeight="1" x14ac:dyDescent="0.25">
      <c r="A13" s="69"/>
      <c r="B13" s="302"/>
      <c r="C13" s="302"/>
      <c r="D13" s="303"/>
      <c r="E13" s="343"/>
      <c r="F13" s="344"/>
      <c r="G13" s="344"/>
      <c r="H13" s="344"/>
      <c r="I13" s="345"/>
      <c r="J13" s="38" t="e">
        <f>IF(AND('Mapa final'!#REF!="Muy Alta",'Mapa final'!#REF!="Leve"),CONCATENATE("R8C",'Mapa final'!#REF!),"")</f>
        <v>#REF!</v>
      </c>
      <c r="K13" s="39" t="e">
        <f>IF(AND('Mapa final'!#REF!="Muy Alta",'Mapa final'!#REF!="Leve"),CONCATENATE("R8C",'Mapa final'!#REF!),"")</f>
        <v>#REF!</v>
      </c>
      <c r="L13" s="39" t="e">
        <f>IF(AND('Mapa final'!#REF!="Muy Alta",'Mapa final'!#REF!="Leve"),CONCATENATE("R8C",'Mapa final'!#REF!),"")</f>
        <v>#REF!</v>
      </c>
      <c r="M13" s="39" t="e">
        <f>IF(AND('Mapa final'!#REF!="Muy Alta",'Mapa final'!#REF!="Leve"),CONCATENATE("R8C",'Mapa final'!#REF!),"")</f>
        <v>#REF!</v>
      </c>
      <c r="N13" s="39" t="e">
        <f>IF(AND('Mapa final'!#REF!="Muy Alta",'Mapa final'!#REF!="Leve"),CONCATENATE("R8C",'Mapa final'!#REF!),"")</f>
        <v>#REF!</v>
      </c>
      <c r="O13" s="40" t="e">
        <f>IF(AND('Mapa final'!#REF!="Muy Alta",'Mapa final'!#REF!="Leve"),CONCATENATE("R8C",'Mapa final'!#REF!),"")</f>
        <v>#REF!</v>
      </c>
      <c r="P13" s="38" t="e">
        <f>IF(AND('Mapa final'!#REF!="Muy Alta",'Mapa final'!#REF!="Menor"),CONCATENATE("R8C",'Mapa final'!#REF!),"")</f>
        <v>#REF!</v>
      </c>
      <c r="Q13" s="39" t="e">
        <f>IF(AND('Mapa final'!#REF!="Muy Alta",'Mapa final'!#REF!="Menor"),CONCATENATE("R8C",'Mapa final'!#REF!),"")</f>
        <v>#REF!</v>
      </c>
      <c r="R13" s="39" t="e">
        <f>IF(AND('Mapa final'!#REF!="Muy Alta",'Mapa final'!#REF!="Menor"),CONCATENATE("R8C",'Mapa final'!#REF!),"")</f>
        <v>#REF!</v>
      </c>
      <c r="S13" s="39" t="e">
        <f>IF(AND('Mapa final'!#REF!="Muy Alta",'Mapa final'!#REF!="Menor"),CONCATENATE("R8C",'Mapa final'!#REF!),"")</f>
        <v>#REF!</v>
      </c>
      <c r="T13" s="39" t="e">
        <f>IF(AND('Mapa final'!#REF!="Muy Alta",'Mapa final'!#REF!="Menor"),CONCATENATE("R8C",'Mapa final'!#REF!),"")</f>
        <v>#REF!</v>
      </c>
      <c r="U13" s="40" t="e">
        <f>IF(AND('Mapa final'!#REF!="Muy Alta",'Mapa final'!#REF!="Menor"),CONCATENATE("R8C",'Mapa final'!#REF!),"")</f>
        <v>#REF!</v>
      </c>
      <c r="V13" s="38" t="e">
        <f>IF(AND('Mapa final'!#REF!="Muy Alta",'Mapa final'!#REF!="Moderado"),CONCATENATE("R8C",'Mapa final'!#REF!),"")</f>
        <v>#REF!</v>
      </c>
      <c r="W13" s="39" t="e">
        <f>IF(AND('Mapa final'!#REF!="Muy Alta",'Mapa final'!#REF!="Moderado"),CONCATENATE("R8C",'Mapa final'!#REF!),"")</f>
        <v>#REF!</v>
      </c>
      <c r="X13" s="39" t="e">
        <f>IF(AND('Mapa final'!#REF!="Muy Alta",'Mapa final'!#REF!="Moderado"),CONCATENATE("R8C",'Mapa final'!#REF!),"")</f>
        <v>#REF!</v>
      </c>
      <c r="Y13" s="39" t="e">
        <f>IF(AND('Mapa final'!#REF!="Muy Alta",'Mapa final'!#REF!="Moderado"),CONCATENATE("R8C",'Mapa final'!#REF!),"")</f>
        <v>#REF!</v>
      </c>
      <c r="Z13" s="39" t="e">
        <f>IF(AND('Mapa final'!#REF!="Muy Alta",'Mapa final'!#REF!="Moderado"),CONCATENATE("R8C",'Mapa final'!#REF!),"")</f>
        <v>#REF!</v>
      </c>
      <c r="AA13" s="40" t="e">
        <f>IF(AND('Mapa final'!#REF!="Muy Alta",'Mapa final'!#REF!="Moderado"),CONCATENATE("R8C",'Mapa final'!#REF!),"")</f>
        <v>#REF!</v>
      </c>
      <c r="AB13" s="38" t="e">
        <f>IF(AND('Mapa final'!#REF!="Muy Alta",'Mapa final'!#REF!="Mayor"),CONCATENATE("R8C",'Mapa final'!#REF!),"")</f>
        <v>#REF!</v>
      </c>
      <c r="AC13" s="39" t="e">
        <f>IF(AND('Mapa final'!#REF!="Muy Alta",'Mapa final'!#REF!="Mayor"),CONCATENATE("R8C",'Mapa final'!#REF!),"")</f>
        <v>#REF!</v>
      </c>
      <c r="AD13" s="39" t="e">
        <f>IF(AND('Mapa final'!#REF!="Muy Alta",'Mapa final'!#REF!="Mayor"),CONCATENATE("R8C",'Mapa final'!#REF!),"")</f>
        <v>#REF!</v>
      </c>
      <c r="AE13" s="39" t="e">
        <f>IF(AND('Mapa final'!#REF!="Muy Alta",'Mapa final'!#REF!="Mayor"),CONCATENATE("R8C",'Mapa final'!#REF!),"")</f>
        <v>#REF!</v>
      </c>
      <c r="AF13" s="39" t="e">
        <f>IF(AND('Mapa final'!#REF!="Muy Alta",'Mapa final'!#REF!="Mayor"),CONCATENATE("R8C",'Mapa final'!#REF!),"")</f>
        <v>#REF!</v>
      </c>
      <c r="AG13" s="40" t="e">
        <f>IF(AND('Mapa final'!#REF!="Muy Alta",'Mapa final'!#REF!="Mayor"),CONCATENATE("R8C",'Mapa final'!#REF!),"")</f>
        <v>#REF!</v>
      </c>
      <c r="AH13" s="41" t="e">
        <f>IF(AND('Mapa final'!#REF!="Muy Alta",'Mapa final'!#REF!="Catastrófico"),CONCATENATE("R8C",'Mapa final'!#REF!),"")</f>
        <v>#REF!</v>
      </c>
      <c r="AI13" s="42" t="e">
        <f>IF(AND('Mapa final'!#REF!="Muy Alta",'Mapa final'!#REF!="Catastrófico"),CONCATENATE("R8C",'Mapa final'!#REF!),"")</f>
        <v>#REF!</v>
      </c>
      <c r="AJ13" s="42" t="e">
        <f>IF(AND('Mapa final'!#REF!="Muy Alta",'Mapa final'!#REF!="Catastrófico"),CONCATENATE("R8C",'Mapa final'!#REF!),"")</f>
        <v>#REF!</v>
      </c>
      <c r="AK13" s="42" t="e">
        <f>IF(AND('Mapa final'!#REF!="Muy Alta",'Mapa final'!#REF!="Catastrófico"),CONCATENATE("R8C",'Mapa final'!#REF!),"")</f>
        <v>#REF!</v>
      </c>
      <c r="AL13" s="42" t="e">
        <f>IF(AND('Mapa final'!#REF!="Muy Alta",'Mapa final'!#REF!="Catastrófico"),CONCATENATE("R8C",'Mapa final'!#REF!),"")</f>
        <v>#REF!</v>
      </c>
      <c r="AM13" s="43" t="e">
        <f>IF(AND('Mapa final'!#REF!="Muy Alta",'Mapa final'!#REF!="Catastrófico"),CONCATENATE("R8C",'Mapa final'!#REF!),"")</f>
        <v>#REF!</v>
      </c>
      <c r="AN13" s="69"/>
      <c r="AO13" s="363"/>
      <c r="AP13" s="364"/>
      <c r="AQ13" s="364"/>
      <c r="AR13" s="364"/>
      <c r="AS13" s="364"/>
      <c r="AT13" s="365"/>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row>
    <row r="14" spans="1:91" ht="15" customHeight="1" x14ac:dyDescent="0.25">
      <c r="A14" s="69"/>
      <c r="B14" s="302"/>
      <c r="C14" s="302"/>
      <c r="D14" s="303"/>
      <c r="E14" s="343"/>
      <c r="F14" s="344"/>
      <c r="G14" s="344"/>
      <c r="H14" s="344"/>
      <c r="I14" s="345"/>
      <c r="J14" s="38" t="e">
        <f>IF(AND('Mapa final'!#REF!="Muy Alta",'Mapa final'!#REF!="Leve"),CONCATENATE("R9C",'Mapa final'!#REF!),"")</f>
        <v>#REF!</v>
      </c>
      <c r="K14" s="39" t="e">
        <f>IF(AND('Mapa final'!#REF!="Muy Alta",'Mapa final'!#REF!="Leve"),CONCATENATE("R9C",'Mapa final'!#REF!),"")</f>
        <v>#REF!</v>
      </c>
      <c r="L14" s="39" t="e">
        <f>IF(AND('Mapa final'!#REF!="Muy Alta",'Mapa final'!#REF!="Leve"),CONCATENATE("R9C",'Mapa final'!#REF!),"")</f>
        <v>#REF!</v>
      </c>
      <c r="M14" s="39" t="e">
        <f>IF(AND('Mapa final'!#REF!="Muy Alta",'Mapa final'!#REF!="Leve"),CONCATENATE("R9C",'Mapa final'!#REF!),"")</f>
        <v>#REF!</v>
      </c>
      <c r="N14" s="39" t="e">
        <f>IF(AND('Mapa final'!#REF!="Muy Alta",'Mapa final'!#REF!="Leve"),CONCATENATE("R9C",'Mapa final'!#REF!),"")</f>
        <v>#REF!</v>
      </c>
      <c r="O14" s="40" t="e">
        <f>IF(AND('Mapa final'!#REF!="Muy Alta",'Mapa final'!#REF!="Leve"),CONCATENATE("R9C",'Mapa final'!#REF!),"")</f>
        <v>#REF!</v>
      </c>
      <c r="P14" s="38" t="e">
        <f>IF(AND('Mapa final'!#REF!="Muy Alta",'Mapa final'!#REF!="Menor"),CONCATENATE("R9C",'Mapa final'!#REF!),"")</f>
        <v>#REF!</v>
      </c>
      <c r="Q14" s="39" t="e">
        <f>IF(AND('Mapa final'!#REF!="Muy Alta",'Mapa final'!#REF!="Menor"),CONCATENATE("R9C",'Mapa final'!#REF!),"")</f>
        <v>#REF!</v>
      </c>
      <c r="R14" s="39" t="e">
        <f>IF(AND('Mapa final'!#REF!="Muy Alta",'Mapa final'!#REF!="Menor"),CONCATENATE("R9C",'Mapa final'!#REF!),"")</f>
        <v>#REF!</v>
      </c>
      <c r="S14" s="39" t="e">
        <f>IF(AND('Mapa final'!#REF!="Muy Alta",'Mapa final'!#REF!="Menor"),CONCATENATE("R9C",'Mapa final'!#REF!),"")</f>
        <v>#REF!</v>
      </c>
      <c r="T14" s="39" t="e">
        <f>IF(AND('Mapa final'!#REF!="Muy Alta",'Mapa final'!#REF!="Menor"),CONCATENATE("R9C",'Mapa final'!#REF!),"")</f>
        <v>#REF!</v>
      </c>
      <c r="U14" s="40" t="e">
        <f>IF(AND('Mapa final'!#REF!="Muy Alta",'Mapa final'!#REF!="Menor"),CONCATENATE("R9C",'Mapa final'!#REF!),"")</f>
        <v>#REF!</v>
      </c>
      <c r="V14" s="38" t="e">
        <f>IF(AND('Mapa final'!#REF!="Muy Alta",'Mapa final'!#REF!="Moderado"),CONCATENATE("R9C",'Mapa final'!#REF!),"")</f>
        <v>#REF!</v>
      </c>
      <c r="W14" s="39" t="e">
        <f>IF(AND('Mapa final'!#REF!="Muy Alta",'Mapa final'!#REF!="Moderado"),CONCATENATE("R9C",'Mapa final'!#REF!),"")</f>
        <v>#REF!</v>
      </c>
      <c r="X14" s="39" t="e">
        <f>IF(AND('Mapa final'!#REF!="Muy Alta",'Mapa final'!#REF!="Moderado"),CONCATENATE("R9C",'Mapa final'!#REF!),"")</f>
        <v>#REF!</v>
      </c>
      <c r="Y14" s="39" t="e">
        <f>IF(AND('Mapa final'!#REF!="Muy Alta",'Mapa final'!#REF!="Moderado"),CONCATENATE("R9C",'Mapa final'!#REF!),"")</f>
        <v>#REF!</v>
      </c>
      <c r="Z14" s="39" t="e">
        <f>IF(AND('Mapa final'!#REF!="Muy Alta",'Mapa final'!#REF!="Moderado"),CONCATENATE("R9C",'Mapa final'!#REF!),"")</f>
        <v>#REF!</v>
      </c>
      <c r="AA14" s="40" t="e">
        <f>IF(AND('Mapa final'!#REF!="Muy Alta",'Mapa final'!#REF!="Moderado"),CONCATENATE("R9C",'Mapa final'!#REF!),"")</f>
        <v>#REF!</v>
      </c>
      <c r="AB14" s="38" t="e">
        <f>IF(AND('Mapa final'!#REF!="Muy Alta",'Mapa final'!#REF!="Mayor"),CONCATENATE("R9C",'Mapa final'!#REF!),"")</f>
        <v>#REF!</v>
      </c>
      <c r="AC14" s="39" t="e">
        <f>IF(AND('Mapa final'!#REF!="Muy Alta",'Mapa final'!#REF!="Mayor"),CONCATENATE("R9C",'Mapa final'!#REF!),"")</f>
        <v>#REF!</v>
      </c>
      <c r="AD14" s="39" t="e">
        <f>IF(AND('Mapa final'!#REF!="Muy Alta",'Mapa final'!#REF!="Mayor"),CONCATENATE("R9C",'Mapa final'!#REF!),"")</f>
        <v>#REF!</v>
      </c>
      <c r="AE14" s="39" t="e">
        <f>IF(AND('Mapa final'!#REF!="Muy Alta",'Mapa final'!#REF!="Mayor"),CONCATENATE("R9C",'Mapa final'!#REF!),"")</f>
        <v>#REF!</v>
      </c>
      <c r="AF14" s="39" t="e">
        <f>IF(AND('Mapa final'!#REF!="Muy Alta",'Mapa final'!#REF!="Mayor"),CONCATENATE("R9C",'Mapa final'!#REF!),"")</f>
        <v>#REF!</v>
      </c>
      <c r="AG14" s="40" t="e">
        <f>IF(AND('Mapa final'!#REF!="Muy Alta",'Mapa final'!#REF!="Mayor"),CONCATENATE("R9C",'Mapa final'!#REF!),"")</f>
        <v>#REF!</v>
      </c>
      <c r="AH14" s="41" t="e">
        <f>IF(AND('Mapa final'!#REF!="Muy Alta",'Mapa final'!#REF!="Catastrófico"),CONCATENATE("R9C",'Mapa final'!#REF!),"")</f>
        <v>#REF!</v>
      </c>
      <c r="AI14" s="42" t="e">
        <f>IF(AND('Mapa final'!#REF!="Muy Alta",'Mapa final'!#REF!="Catastrófico"),CONCATENATE("R9C",'Mapa final'!#REF!),"")</f>
        <v>#REF!</v>
      </c>
      <c r="AJ14" s="42" t="e">
        <f>IF(AND('Mapa final'!#REF!="Muy Alta",'Mapa final'!#REF!="Catastrófico"),CONCATENATE("R9C",'Mapa final'!#REF!),"")</f>
        <v>#REF!</v>
      </c>
      <c r="AK14" s="42" t="e">
        <f>IF(AND('Mapa final'!#REF!="Muy Alta",'Mapa final'!#REF!="Catastrófico"),CONCATENATE("R9C",'Mapa final'!#REF!),"")</f>
        <v>#REF!</v>
      </c>
      <c r="AL14" s="42" t="e">
        <f>IF(AND('Mapa final'!#REF!="Muy Alta",'Mapa final'!#REF!="Catastrófico"),CONCATENATE("R9C",'Mapa final'!#REF!),"")</f>
        <v>#REF!</v>
      </c>
      <c r="AM14" s="43" t="e">
        <f>IF(AND('Mapa final'!#REF!="Muy Alta",'Mapa final'!#REF!="Catastrófico"),CONCATENATE("R9C",'Mapa final'!#REF!),"")</f>
        <v>#REF!</v>
      </c>
      <c r="AN14" s="69"/>
      <c r="AO14" s="363"/>
      <c r="AP14" s="364"/>
      <c r="AQ14" s="364"/>
      <c r="AR14" s="364"/>
      <c r="AS14" s="364"/>
      <c r="AT14" s="365"/>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row>
    <row r="15" spans="1:91" ht="15.75" customHeight="1" thickBot="1" x14ac:dyDescent="0.3">
      <c r="A15" s="69"/>
      <c r="B15" s="302"/>
      <c r="C15" s="302"/>
      <c r="D15" s="303"/>
      <c r="E15" s="346"/>
      <c r="F15" s="347"/>
      <c r="G15" s="347"/>
      <c r="H15" s="347"/>
      <c r="I15" s="348"/>
      <c r="J15" s="44" t="e">
        <f>IF(AND('Mapa final'!#REF!="Muy Alta",'Mapa final'!#REF!="Leve"),CONCATENATE("R10C",'Mapa final'!#REF!),"")</f>
        <v>#REF!</v>
      </c>
      <c r="K15" s="45" t="e">
        <f>IF(AND('Mapa final'!#REF!="Muy Alta",'Mapa final'!#REF!="Leve"),CONCATENATE("R10C",'Mapa final'!#REF!),"")</f>
        <v>#REF!</v>
      </c>
      <c r="L15" s="45" t="e">
        <f>IF(AND('Mapa final'!#REF!="Muy Alta",'Mapa final'!#REF!="Leve"),CONCATENATE("R10C",'Mapa final'!#REF!),"")</f>
        <v>#REF!</v>
      </c>
      <c r="M15" s="45" t="e">
        <f>IF(AND('Mapa final'!#REF!="Muy Alta",'Mapa final'!#REF!="Leve"),CONCATENATE("R10C",'Mapa final'!#REF!),"")</f>
        <v>#REF!</v>
      </c>
      <c r="N15" s="45" t="e">
        <f>IF(AND('Mapa final'!#REF!="Muy Alta",'Mapa final'!#REF!="Leve"),CONCATENATE("R10C",'Mapa final'!#REF!),"")</f>
        <v>#REF!</v>
      </c>
      <c r="O15" s="46" t="e">
        <f>IF(AND('Mapa final'!#REF!="Muy Alta",'Mapa final'!#REF!="Leve"),CONCATENATE("R10C",'Mapa final'!#REF!),"")</f>
        <v>#REF!</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e">
        <f>IF(AND('Mapa final'!#REF!="Muy Alta",'Mapa final'!#REF!="Menor"),CONCATENATE("R10C",'Mapa final'!#REF!),"")</f>
        <v>#REF!</v>
      </c>
      <c r="V15" s="44" t="e">
        <f>IF(AND('Mapa final'!#REF!="Muy Alta",'Mapa final'!#REF!="Moderado"),CONCATENATE("R10C",'Mapa final'!#REF!),"")</f>
        <v>#REF!</v>
      </c>
      <c r="W15" s="45" t="e">
        <f>IF(AND('Mapa final'!#REF!="Muy Alta",'Mapa final'!#REF!="Moderado"),CONCATENATE("R10C",'Mapa final'!#REF!),"")</f>
        <v>#REF!</v>
      </c>
      <c r="X15" s="45" t="e">
        <f>IF(AND('Mapa final'!#REF!="Muy Alta",'Mapa final'!#REF!="Moderado"),CONCATENATE("R10C",'Mapa final'!#REF!),"")</f>
        <v>#REF!</v>
      </c>
      <c r="Y15" s="45" t="e">
        <f>IF(AND('Mapa final'!#REF!="Muy Alta",'Mapa final'!#REF!="Moderado"),CONCATENATE("R10C",'Mapa final'!#REF!),"")</f>
        <v>#REF!</v>
      </c>
      <c r="Z15" s="45" t="e">
        <f>IF(AND('Mapa final'!#REF!="Muy Alta",'Mapa final'!#REF!="Moderado"),CONCATENATE("R10C",'Mapa final'!#REF!),"")</f>
        <v>#REF!</v>
      </c>
      <c r="AA15" s="46" t="e">
        <f>IF(AND('Mapa final'!#REF!="Muy Alta",'Mapa final'!#REF!="Moderado"),CONCATENATE("R10C",'Mapa final'!#REF!),"")</f>
        <v>#REF!</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e">
        <f>IF(AND('Mapa final'!#REF!="Muy Alta",'Mapa final'!#REF!="Mayor"),CONCATENATE("R10C",'Mapa final'!#REF!),"")</f>
        <v>#REF!</v>
      </c>
      <c r="AH15" s="47" t="e">
        <f>IF(AND('Mapa final'!#REF!="Muy Alta",'Mapa final'!#REF!="Catastrófico"),CONCATENATE("R10C",'Mapa final'!#REF!),"")</f>
        <v>#REF!</v>
      </c>
      <c r="AI15" s="48" t="e">
        <f>IF(AND('Mapa final'!#REF!="Muy Alta",'Mapa final'!#REF!="Catastrófico"),CONCATENATE("R10C",'Mapa final'!#REF!),"")</f>
        <v>#REF!</v>
      </c>
      <c r="AJ15" s="48" t="e">
        <f>IF(AND('Mapa final'!#REF!="Muy Alta",'Mapa final'!#REF!="Catastrófico"),CONCATENATE("R10C",'Mapa final'!#REF!),"")</f>
        <v>#REF!</v>
      </c>
      <c r="AK15" s="48" t="e">
        <f>IF(AND('Mapa final'!#REF!="Muy Alta",'Mapa final'!#REF!="Catastrófico"),CONCATENATE("R10C",'Mapa final'!#REF!),"")</f>
        <v>#REF!</v>
      </c>
      <c r="AL15" s="48" t="e">
        <f>IF(AND('Mapa final'!#REF!="Muy Alta",'Mapa final'!#REF!="Catastrófico"),CONCATENATE("R10C",'Mapa final'!#REF!),"")</f>
        <v>#REF!</v>
      </c>
      <c r="AM15" s="49" t="e">
        <f>IF(AND('Mapa final'!#REF!="Muy Alta",'Mapa final'!#REF!="Catastrófico"),CONCATENATE("R10C",'Mapa final'!#REF!),"")</f>
        <v>#REF!</v>
      </c>
      <c r="AN15" s="69"/>
      <c r="AO15" s="366"/>
      <c r="AP15" s="367"/>
      <c r="AQ15" s="367"/>
      <c r="AR15" s="367"/>
      <c r="AS15" s="367"/>
      <c r="AT15" s="368"/>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row>
    <row r="16" spans="1:91" ht="15" customHeight="1" x14ac:dyDescent="0.25">
      <c r="A16" s="69"/>
      <c r="B16" s="302"/>
      <c r="C16" s="302"/>
      <c r="D16" s="303"/>
      <c r="E16" s="340" t="s">
        <v>114</v>
      </c>
      <c r="F16" s="341"/>
      <c r="G16" s="341"/>
      <c r="H16" s="341"/>
      <c r="I16" s="341"/>
      <c r="J16" s="50" t="e">
        <f>IF(AND('Mapa final'!#REF!="Alta",'Mapa final'!#REF!="Leve"),CONCATENATE("R1C",'Mapa final'!#REF!),"")</f>
        <v>#REF!</v>
      </c>
      <c r="K16" s="51" t="e">
        <f>IF(AND('Mapa final'!#REF!="Alta",'Mapa final'!#REF!="Leve"),CONCATENATE("R1C",'Mapa final'!#REF!),"")</f>
        <v>#REF!</v>
      </c>
      <c r="L16" s="51" t="e">
        <f>IF(AND('Mapa final'!#REF!="Alta",'Mapa final'!#REF!="Leve"),CONCATENATE("R1C",'Mapa final'!#REF!),"")</f>
        <v>#REF!</v>
      </c>
      <c r="M16" s="51" t="e">
        <f>IF(AND('Mapa final'!#REF!="Alta",'Mapa final'!#REF!="Leve"),CONCATENATE("R1C",'Mapa final'!#REF!),"")</f>
        <v>#REF!</v>
      </c>
      <c r="N16" s="51" t="e">
        <f>IF(AND('Mapa final'!#REF!="Alta",'Mapa final'!#REF!="Leve"),CONCATENATE("R1C",'Mapa final'!#REF!),"")</f>
        <v>#REF!</v>
      </c>
      <c r="O16" s="52" t="e">
        <f>IF(AND('Mapa final'!#REF!="Alta",'Mapa final'!#REF!="Leve"),CONCATENATE("R1C",'Mapa final'!#REF!),"")</f>
        <v>#REF!</v>
      </c>
      <c r="P16" s="50" t="e">
        <f>IF(AND('Mapa final'!#REF!="Alta",'Mapa final'!#REF!="Menor"),CONCATENATE("R1C",'Mapa final'!#REF!),"")</f>
        <v>#REF!</v>
      </c>
      <c r="Q16" s="51" t="e">
        <f>IF(AND('Mapa final'!#REF!="Alta",'Mapa final'!#REF!="Menor"),CONCATENATE("R1C",'Mapa final'!#REF!),"")</f>
        <v>#REF!</v>
      </c>
      <c r="R16" s="51" t="e">
        <f>IF(AND('Mapa final'!#REF!="Alta",'Mapa final'!#REF!="Menor"),CONCATENATE("R1C",'Mapa final'!#REF!),"")</f>
        <v>#REF!</v>
      </c>
      <c r="S16" s="51" t="e">
        <f>IF(AND('Mapa final'!#REF!="Alta",'Mapa final'!#REF!="Menor"),CONCATENATE("R1C",'Mapa final'!#REF!),"")</f>
        <v>#REF!</v>
      </c>
      <c r="T16" s="51" t="e">
        <f>IF(AND('Mapa final'!#REF!="Alta",'Mapa final'!#REF!="Menor"),CONCATENATE("R1C",'Mapa final'!#REF!),"")</f>
        <v>#REF!</v>
      </c>
      <c r="U16" s="52" t="e">
        <f>IF(AND('Mapa final'!#REF!="Alta",'Mapa final'!#REF!="Menor"),CONCATENATE("R1C",'Mapa final'!#REF!),"")</f>
        <v>#REF!</v>
      </c>
      <c r="V16" s="32" t="e">
        <f>IF(AND('Mapa final'!#REF!="Alta",'Mapa final'!#REF!="Moderado"),CONCATENATE("R1C",'Mapa final'!#REF!),"")</f>
        <v>#REF!</v>
      </c>
      <c r="W16" s="33" t="e">
        <f>IF(AND('Mapa final'!#REF!="Alta",'Mapa final'!#REF!="Moderado"),CONCATENATE("R1C",'Mapa final'!#REF!),"")</f>
        <v>#REF!</v>
      </c>
      <c r="X16" s="33" t="e">
        <f>IF(AND('Mapa final'!#REF!="Alta",'Mapa final'!#REF!="Moderado"),CONCATENATE("R1C",'Mapa final'!#REF!),"")</f>
        <v>#REF!</v>
      </c>
      <c r="Y16" s="33" t="e">
        <f>IF(AND('Mapa final'!#REF!="Alta",'Mapa final'!#REF!="Moderado"),CONCATENATE("R1C",'Mapa final'!#REF!),"")</f>
        <v>#REF!</v>
      </c>
      <c r="Z16" s="33" t="e">
        <f>IF(AND('Mapa final'!#REF!="Alta",'Mapa final'!#REF!="Moderado"),CONCATENATE("R1C",'Mapa final'!#REF!),"")</f>
        <v>#REF!</v>
      </c>
      <c r="AA16" s="34" t="e">
        <f>IF(AND('Mapa final'!#REF!="Alta",'Mapa final'!#REF!="Moderado"),CONCATENATE("R1C",'Mapa final'!#REF!),"")</f>
        <v>#REF!</v>
      </c>
      <c r="AB16" s="32" t="e">
        <f>IF(AND('Mapa final'!#REF!="Alta",'Mapa final'!#REF!="Mayor"),CONCATENATE("R1C",'Mapa final'!#REF!),"")</f>
        <v>#REF!</v>
      </c>
      <c r="AC16" s="33" t="e">
        <f>IF(AND('Mapa final'!#REF!="Alta",'Mapa final'!#REF!="Mayor"),CONCATENATE("R1C",'Mapa final'!#REF!),"")</f>
        <v>#REF!</v>
      </c>
      <c r="AD16" s="33" t="e">
        <f>IF(AND('Mapa final'!#REF!="Alta",'Mapa final'!#REF!="Mayor"),CONCATENATE("R1C",'Mapa final'!#REF!),"")</f>
        <v>#REF!</v>
      </c>
      <c r="AE16" s="33" t="e">
        <f>IF(AND('Mapa final'!#REF!="Alta",'Mapa final'!#REF!="Mayor"),CONCATENATE("R1C",'Mapa final'!#REF!),"")</f>
        <v>#REF!</v>
      </c>
      <c r="AF16" s="33" t="e">
        <f>IF(AND('Mapa final'!#REF!="Alta",'Mapa final'!#REF!="Mayor"),CONCATENATE("R1C",'Mapa final'!#REF!),"")</f>
        <v>#REF!</v>
      </c>
      <c r="AG16" s="34" t="e">
        <f>IF(AND('Mapa final'!#REF!="Alta",'Mapa final'!#REF!="Mayor"),CONCATENATE("R1C",'Mapa final'!#REF!),"")</f>
        <v>#REF!</v>
      </c>
      <c r="AH16" s="35" t="e">
        <f>IF(AND('Mapa final'!#REF!="Alta",'Mapa final'!#REF!="Catastrófico"),CONCATENATE("R1C",'Mapa final'!#REF!),"")</f>
        <v>#REF!</v>
      </c>
      <c r="AI16" s="36" t="e">
        <f>IF(AND('Mapa final'!#REF!="Alta",'Mapa final'!#REF!="Catastrófico"),CONCATENATE("R1C",'Mapa final'!#REF!),"")</f>
        <v>#REF!</v>
      </c>
      <c r="AJ16" s="36" t="e">
        <f>IF(AND('Mapa final'!#REF!="Alta",'Mapa final'!#REF!="Catastrófico"),CONCATENATE("R1C",'Mapa final'!#REF!),"")</f>
        <v>#REF!</v>
      </c>
      <c r="AK16" s="36" t="e">
        <f>IF(AND('Mapa final'!#REF!="Alta",'Mapa final'!#REF!="Catastrófico"),CONCATENATE("R1C",'Mapa final'!#REF!),"")</f>
        <v>#REF!</v>
      </c>
      <c r="AL16" s="36" t="e">
        <f>IF(AND('Mapa final'!#REF!="Alta",'Mapa final'!#REF!="Catastrófico"),CONCATENATE("R1C",'Mapa final'!#REF!),"")</f>
        <v>#REF!</v>
      </c>
      <c r="AM16" s="37" t="e">
        <f>IF(AND('Mapa final'!#REF!="Alta",'Mapa final'!#REF!="Catastrófico"),CONCATENATE("R1C",'Mapa final'!#REF!),"")</f>
        <v>#REF!</v>
      </c>
      <c r="AN16" s="69"/>
      <c r="AO16" s="350" t="s">
        <v>79</v>
      </c>
      <c r="AP16" s="351"/>
      <c r="AQ16" s="351"/>
      <c r="AR16" s="351"/>
      <c r="AS16" s="351"/>
      <c r="AT16" s="352"/>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row>
    <row r="17" spans="1:76" ht="15" customHeight="1" x14ac:dyDescent="0.25">
      <c r="A17" s="69"/>
      <c r="B17" s="302"/>
      <c r="C17" s="302"/>
      <c r="D17" s="303"/>
      <c r="E17" s="359"/>
      <c r="F17" s="344"/>
      <c r="G17" s="344"/>
      <c r="H17" s="344"/>
      <c r="I17" s="344"/>
      <c r="J17" s="53" t="str">
        <f>IF(AND('Mapa final'!$AD$13="Alta",'Mapa final'!$AF$13="Leve"),CONCATENATE("R2C",'Mapa final'!$S$13),"")</f>
        <v/>
      </c>
      <c r="K17" s="54" t="str">
        <f>IF(AND('Mapa final'!$AD$17="Alta",'Mapa final'!$AF$17="Leve"),CONCATENATE("R2C",'Mapa final'!$S$17),"")</f>
        <v/>
      </c>
      <c r="L17" s="54" t="e">
        <f>IF(AND('Mapa final'!#REF!="Alta",'Mapa final'!#REF!="Leve"),CONCATENATE("R2C",'Mapa final'!#REF!),"")</f>
        <v>#REF!</v>
      </c>
      <c r="M17" s="54" t="e">
        <f>IF(AND('Mapa final'!#REF!="Alta",'Mapa final'!#REF!="Leve"),CONCATENATE("R2C",'Mapa final'!#REF!),"")</f>
        <v>#REF!</v>
      </c>
      <c r="N17" s="54" t="e">
        <f>IF(AND('Mapa final'!#REF!="Alta",'Mapa final'!#REF!="Leve"),CONCATENATE("R2C",'Mapa final'!#REF!),"")</f>
        <v>#REF!</v>
      </c>
      <c r="O17" s="55" t="e">
        <f>IF(AND('Mapa final'!#REF!="Alta",'Mapa final'!#REF!="Leve"),CONCATENATE("R2C",'Mapa final'!#REF!),"")</f>
        <v>#REF!</v>
      </c>
      <c r="P17" s="53" t="str">
        <f>IF(AND('Mapa final'!$AD$13="Alta",'Mapa final'!$AF$13="Menor"),CONCATENATE("R2C",'Mapa final'!$S$13),"")</f>
        <v/>
      </c>
      <c r="Q17" s="54" t="str">
        <f>IF(AND('Mapa final'!$AD$17="Alta",'Mapa final'!$AF$17="Menor"),CONCATENATE("R2C",'Mapa final'!$S$17),"")</f>
        <v/>
      </c>
      <c r="R17" s="54" t="e">
        <f>IF(AND('Mapa final'!#REF!="Alta",'Mapa final'!#REF!="Menor"),CONCATENATE("R2C",'Mapa final'!#REF!),"")</f>
        <v>#REF!</v>
      </c>
      <c r="S17" s="54" t="e">
        <f>IF(AND('Mapa final'!#REF!="Alta",'Mapa final'!#REF!="Menor"),CONCATENATE("R2C",'Mapa final'!#REF!),"")</f>
        <v>#REF!</v>
      </c>
      <c r="T17" s="54" t="e">
        <f>IF(AND('Mapa final'!#REF!="Alta",'Mapa final'!#REF!="Menor"),CONCATENATE("R2C",'Mapa final'!#REF!),"")</f>
        <v>#REF!</v>
      </c>
      <c r="U17" s="55" t="e">
        <f>IF(AND('Mapa final'!#REF!="Alta",'Mapa final'!#REF!="Menor"),CONCATENATE("R2C",'Mapa final'!#REF!),"")</f>
        <v>#REF!</v>
      </c>
      <c r="V17" s="38" t="str">
        <f>IF(AND('Mapa final'!$AD$13="Alta",'Mapa final'!$AF$13="Moderado"),CONCATENATE("R2C",'Mapa final'!$S$13),"")</f>
        <v/>
      </c>
      <c r="W17" s="39" t="str">
        <f>IF(AND('Mapa final'!$AD$17="Alta",'Mapa final'!$AF$17="Moderado"),CONCATENATE("R2C",'Mapa final'!$S$17),"")</f>
        <v/>
      </c>
      <c r="X17" s="39" t="e">
        <f>IF(AND('Mapa final'!#REF!="Alta",'Mapa final'!#REF!="Moderado"),CONCATENATE("R2C",'Mapa final'!#REF!),"")</f>
        <v>#REF!</v>
      </c>
      <c r="Y17" s="39" t="e">
        <f>IF(AND('Mapa final'!#REF!="Alta",'Mapa final'!#REF!="Moderado"),CONCATENATE("R2C",'Mapa final'!#REF!),"")</f>
        <v>#REF!</v>
      </c>
      <c r="Z17" s="39" t="e">
        <f>IF(AND('Mapa final'!#REF!="Alta",'Mapa final'!#REF!="Moderado"),CONCATENATE("R2C",'Mapa final'!#REF!),"")</f>
        <v>#REF!</v>
      </c>
      <c r="AA17" s="40" t="e">
        <f>IF(AND('Mapa final'!#REF!="Alta",'Mapa final'!#REF!="Moderado"),CONCATENATE("R2C",'Mapa final'!#REF!),"")</f>
        <v>#REF!</v>
      </c>
      <c r="AB17" s="38" t="str">
        <f>IF(AND('Mapa final'!$AD$13="Alta",'Mapa final'!$AF$13="Mayor"),CONCATENATE("R2C",'Mapa final'!$S$13),"")</f>
        <v/>
      </c>
      <c r="AC17" s="39" t="str">
        <f>IF(AND('Mapa final'!$AD$17="Alta",'Mapa final'!$AF$17="Mayor"),CONCATENATE("R2C",'Mapa final'!$S$17),"")</f>
        <v/>
      </c>
      <c r="AD17" s="39" t="e">
        <f>IF(AND('Mapa final'!#REF!="Alta",'Mapa final'!#REF!="Mayor"),CONCATENATE("R2C",'Mapa final'!#REF!),"")</f>
        <v>#REF!</v>
      </c>
      <c r="AE17" s="39" t="e">
        <f>IF(AND('Mapa final'!#REF!="Alta",'Mapa final'!#REF!="Mayor"),CONCATENATE("R2C",'Mapa final'!#REF!),"")</f>
        <v>#REF!</v>
      </c>
      <c r="AF17" s="39" t="e">
        <f>IF(AND('Mapa final'!#REF!="Alta",'Mapa final'!#REF!="Mayor"),CONCATENATE("R2C",'Mapa final'!#REF!),"")</f>
        <v>#REF!</v>
      </c>
      <c r="AG17" s="40" t="e">
        <f>IF(AND('Mapa final'!#REF!="Alta",'Mapa final'!#REF!="Mayor"),CONCATENATE("R2C",'Mapa final'!#REF!),"")</f>
        <v>#REF!</v>
      </c>
      <c r="AH17" s="41" t="str">
        <f>IF(AND('Mapa final'!$AD$13="Alta",'Mapa final'!$AF$13="Catastrófico"),CONCATENATE("R2C",'Mapa final'!$S$13),"")</f>
        <v/>
      </c>
      <c r="AI17" s="42" t="str">
        <f>IF(AND('Mapa final'!$AD$17="Alta",'Mapa final'!$AF$17="Catastrófico"),CONCATENATE("R2C",'Mapa final'!$S$17),"")</f>
        <v/>
      </c>
      <c r="AJ17" s="42" t="e">
        <f>IF(AND('Mapa final'!#REF!="Alta",'Mapa final'!#REF!="Catastrófico"),CONCATENATE("R2C",'Mapa final'!#REF!),"")</f>
        <v>#REF!</v>
      </c>
      <c r="AK17" s="42" t="e">
        <f>IF(AND('Mapa final'!#REF!="Alta",'Mapa final'!#REF!="Catastrófico"),CONCATENATE("R2C",'Mapa final'!#REF!),"")</f>
        <v>#REF!</v>
      </c>
      <c r="AL17" s="42" t="e">
        <f>IF(AND('Mapa final'!#REF!="Alta",'Mapa final'!#REF!="Catastrófico"),CONCATENATE("R2C",'Mapa final'!#REF!),"")</f>
        <v>#REF!</v>
      </c>
      <c r="AM17" s="43" t="e">
        <f>IF(AND('Mapa final'!#REF!="Alta",'Mapa final'!#REF!="Catastrófico"),CONCATENATE("R2C",'Mapa final'!#REF!),"")</f>
        <v>#REF!</v>
      </c>
      <c r="AN17" s="69"/>
      <c r="AO17" s="353"/>
      <c r="AP17" s="354"/>
      <c r="AQ17" s="354"/>
      <c r="AR17" s="354"/>
      <c r="AS17" s="354"/>
      <c r="AT17" s="355"/>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row>
    <row r="18" spans="1:76" ht="15" customHeight="1" x14ac:dyDescent="0.25">
      <c r="A18" s="69"/>
      <c r="B18" s="302"/>
      <c r="C18" s="302"/>
      <c r="D18" s="303"/>
      <c r="E18" s="343"/>
      <c r="F18" s="344"/>
      <c r="G18" s="344"/>
      <c r="H18" s="344"/>
      <c r="I18" s="344"/>
      <c r="J18" s="53" t="e">
        <f>IF(AND('Mapa final'!#REF!="Alta",'Mapa final'!#REF!="Leve"),CONCATENATE("R3C",'Mapa final'!#REF!),"")</f>
        <v>#REF!</v>
      </c>
      <c r="K18" s="54" t="e">
        <f>IF(AND('Mapa final'!#REF!="Alta",'Mapa final'!#REF!="Leve"),CONCATENATE("R3C",'Mapa final'!#REF!),"")</f>
        <v>#REF!</v>
      </c>
      <c r="L18" s="54" t="e">
        <f>IF(AND('Mapa final'!#REF!="Alta",'Mapa final'!#REF!="Leve"),CONCATENATE("R3C",'Mapa final'!#REF!),"")</f>
        <v>#REF!</v>
      </c>
      <c r="M18" s="54" t="e">
        <f>IF(AND('Mapa final'!#REF!="Alta",'Mapa final'!#REF!="Leve"),CONCATENATE("R3C",'Mapa final'!#REF!),"")</f>
        <v>#REF!</v>
      </c>
      <c r="N18" s="54" t="e">
        <f>IF(AND('Mapa final'!#REF!="Alta",'Mapa final'!#REF!="Leve"),CONCATENATE("R3C",'Mapa final'!#REF!),"")</f>
        <v>#REF!</v>
      </c>
      <c r="O18" s="55" t="e">
        <f>IF(AND('Mapa final'!#REF!="Alta",'Mapa final'!#REF!="Leve"),CONCATENATE("R3C",'Mapa final'!#REF!),"")</f>
        <v>#REF!</v>
      </c>
      <c r="P18" s="53" t="e">
        <f>IF(AND('Mapa final'!#REF!="Alta",'Mapa final'!#REF!="Menor"),CONCATENATE("R3C",'Mapa final'!#REF!),"")</f>
        <v>#REF!</v>
      </c>
      <c r="Q18" s="54" t="e">
        <f>IF(AND('Mapa final'!#REF!="Alta",'Mapa final'!#REF!="Menor"),CONCATENATE("R3C",'Mapa final'!#REF!),"")</f>
        <v>#REF!</v>
      </c>
      <c r="R18" s="54" t="e">
        <f>IF(AND('Mapa final'!#REF!="Alta",'Mapa final'!#REF!="Menor"),CONCATENATE("R3C",'Mapa final'!#REF!),"")</f>
        <v>#REF!</v>
      </c>
      <c r="S18" s="54" t="e">
        <f>IF(AND('Mapa final'!#REF!="Alta",'Mapa final'!#REF!="Menor"),CONCATENATE("R3C",'Mapa final'!#REF!),"")</f>
        <v>#REF!</v>
      </c>
      <c r="T18" s="54" t="e">
        <f>IF(AND('Mapa final'!#REF!="Alta",'Mapa final'!#REF!="Menor"),CONCATENATE("R3C",'Mapa final'!#REF!),"")</f>
        <v>#REF!</v>
      </c>
      <c r="U18" s="55" t="e">
        <f>IF(AND('Mapa final'!#REF!="Alta",'Mapa final'!#REF!="Menor"),CONCATENATE("R3C",'Mapa final'!#REF!),"")</f>
        <v>#REF!</v>
      </c>
      <c r="V18" s="38" t="e">
        <f>IF(AND('Mapa final'!#REF!="Alta",'Mapa final'!#REF!="Moderado"),CONCATENATE("R3C",'Mapa final'!#REF!),"")</f>
        <v>#REF!</v>
      </c>
      <c r="W18" s="39" t="e">
        <f>IF(AND('Mapa final'!#REF!="Alta",'Mapa final'!#REF!="Moderado"),CONCATENATE("R3C",'Mapa final'!#REF!),"")</f>
        <v>#REF!</v>
      </c>
      <c r="X18" s="39" t="e">
        <f>IF(AND('Mapa final'!#REF!="Alta",'Mapa final'!#REF!="Moderado"),CONCATENATE("R3C",'Mapa final'!#REF!),"")</f>
        <v>#REF!</v>
      </c>
      <c r="Y18" s="39" t="e">
        <f>IF(AND('Mapa final'!#REF!="Alta",'Mapa final'!#REF!="Moderado"),CONCATENATE("R3C",'Mapa final'!#REF!),"")</f>
        <v>#REF!</v>
      </c>
      <c r="Z18" s="39" t="e">
        <f>IF(AND('Mapa final'!#REF!="Alta",'Mapa final'!#REF!="Moderado"),CONCATENATE("R3C",'Mapa final'!#REF!),"")</f>
        <v>#REF!</v>
      </c>
      <c r="AA18" s="40" t="e">
        <f>IF(AND('Mapa final'!#REF!="Alta",'Mapa final'!#REF!="Moderado"),CONCATENATE("R3C",'Mapa final'!#REF!),"")</f>
        <v>#REF!</v>
      </c>
      <c r="AB18" s="38" t="e">
        <f>IF(AND('Mapa final'!#REF!="Alta",'Mapa final'!#REF!="Mayor"),CONCATENATE("R3C",'Mapa final'!#REF!),"")</f>
        <v>#REF!</v>
      </c>
      <c r="AC18" s="39" t="e">
        <f>IF(AND('Mapa final'!#REF!="Alta",'Mapa final'!#REF!="Mayor"),CONCATENATE("R3C",'Mapa final'!#REF!),"")</f>
        <v>#REF!</v>
      </c>
      <c r="AD18" s="39" t="e">
        <f>IF(AND('Mapa final'!#REF!="Alta",'Mapa final'!#REF!="Mayor"),CONCATENATE("R3C",'Mapa final'!#REF!),"")</f>
        <v>#REF!</v>
      </c>
      <c r="AE18" s="39" t="e">
        <f>IF(AND('Mapa final'!#REF!="Alta",'Mapa final'!#REF!="Mayor"),CONCATENATE("R3C",'Mapa final'!#REF!),"")</f>
        <v>#REF!</v>
      </c>
      <c r="AF18" s="39" t="e">
        <f>IF(AND('Mapa final'!#REF!="Alta",'Mapa final'!#REF!="Mayor"),CONCATENATE("R3C",'Mapa final'!#REF!),"")</f>
        <v>#REF!</v>
      </c>
      <c r="AG18" s="40" t="e">
        <f>IF(AND('Mapa final'!#REF!="Alta",'Mapa final'!#REF!="Mayor"),CONCATENATE("R3C",'Mapa final'!#REF!),"")</f>
        <v>#REF!</v>
      </c>
      <c r="AH18" s="41" t="e">
        <f>IF(AND('Mapa final'!#REF!="Alta",'Mapa final'!#REF!="Catastrófico"),CONCATENATE("R3C",'Mapa final'!#REF!),"")</f>
        <v>#REF!</v>
      </c>
      <c r="AI18" s="42" t="e">
        <f>IF(AND('Mapa final'!#REF!="Alta",'Mapa final'!#REF!="Catastrófico"),CONCATENATE("R3C",'Mapa final'!#REF!),"")</f>
        <v>#REF!</v>
      </c>
      <c r="AJ18" s="42" t="e">
        <f>IF(AND('Mapa final'!#REF!="Alta",'Mapa final'!#REF!="Catastrófico"),CONCATENATE("R3C",'Mapa final'!#REF!),"")</f>
        <v>#REF!</v>
      </c>
      <c r="AK18" s="42" t="e">
        <f>IF(AND('Mapa final'!#REF!="Alta",'Mapa final'!#REF!="Catastrófico"),CONCATENATE("R3C",'Mapa final'!#REF!),"")</f>
        <v>#REF!</v>
      </c>
      <c r="AL18" s="42" t="e">
        <f>IF(AND('Mapa final'!#REF!="Alta",'Mapa final'!#REF!="Catastrófico"),CONCATENATE("R3C",'Mapa final'!#REF!),"")</f>
        <v>#REF!</v>
      </c>
      <c r="AM18" s="43" t="e">
        <f>IF(AND('Mapa final'!#REF!="Alta",'Mapa final'!#REF!="Catastrófico"),CONCATENATE("R3C",'Mapa final'!#REF!),"")</f>
        <v>#REF!</v>
      </c>
      <c r="AN18" s="69"/>
      <c r="AO18" s="353"/>
      <c r="AP18" s="354"/>
      <c r="AQ18" s="354"/>
      <c r="AR18" s="354"/>
      <c r="AS18" s="354"/>
      <c r="AT18" s="355"/>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row>
    <row r="19" spans="1:76" ht="15" customHeight="1" x14ac:dyDescent="0.25">
      <c r="A19" s="69"/>
      <c r="B19" s="302"/>
      <c r="C19" s="302"/>
      <c r="D19" s="303"/>
      <c r="E19" s="343"/>
      <c r="F19" s="344"/>
      <c r="G19" s="344"/>
      <c r="H19" s="344"/>
      <c r="I19" s="344"/>
      <c r="J19" s="53" t="e">
        <f>IF(AND('Mapa final'!#REF!="Alta",'Mapa final'!#REF!="Leve"),CONCATENATE("R4C",'Mapa final'!#REF!),"")</f>
        <v>#REF!</v>
      </c>
      <c r="K19" s="54" t="e">
        <f>IF(AND('Mapa final'!#REF!="Alta",'Mapa final'!#REF!="Leve"),CONCATENATE("R4C",'Mapa final'!#REF!),"")</f>
        <v>#REF!</v>
      </c>
      <c r="L19" s="54" t="e">
        <f>IF(AND('Mapa final'!#REF!="Alta",'Mapa final'!#REF!="Leve"),CONCATENATE("R4C",'Mapa final'!#REF!),"")</f>
        <v>#REF!</v>
      </c>
      <c r="M19" s="54" t="e">
        <f>IF(AND('Mapa final'!#REF!="Alta",'Mapa final'!#REF!="Leve"),CONCATENATE("R4C",'Mapa final'!#REF!),"")</f>
        <v>#REF!</v>
      </c>
      <c r="N19" s="54" t="e">
        <f>IF(AND('Mapa final'!#REF!="Alta",'Mapa final'!#REF!="Leve"),CONCATENATE("R4C",'Mapa final'!#REF!),"")</f>
        <v>#REF!</v>
      </c>
      <c r="O19" s="55" t="e">
        <f>IF(AND('Mapa final'!#REF!="Alta",'Mapa final'!#REF!="Leve"),CONCATENATE("R4C",'Mapa final'!#REF!),"")</f>
        <v>#REF!</v>
      </c>
      <c r="P19" s="53" t="e">
        <f>IF(AND('Mapa final'!#REF!="Alta",'Mapa final'!#REF!="Menor"),CONCATENATE("R4C",'Mapa final'!#REF!),"")</f>
        <v>#REF!</v>
      </c>
      <c r="Q19" s="54" t="e">
        <f>IF(AND('Mapa final'!#REF!="Alta",'Mapa final'!#REF!="Menor"),CONCATENATE("R4C",'Mapa final'!#REF!),"")</f>
        <v>#REF!</v>
      </c>
      <c r="R19" s="54" t="e">
        <f>IF(AND('Mapa final'!#REF!="Alta",'Mapa final'!#REF!="Menor"),CONCATENATE("R4C",'Mapa final'!#REF!),"")</f>
        <v>#REF!</v>
      </c>
      <c r="S19" s="54" t="e">
        <f>IF(AND('Mapa final'!#REF!="Alta",'Mapa final'!#REF!="Menor"),CONCATENATE("R4C",'Mapa final'!#REF!),"")</f>
        <v>#REF!</v>
      </c>
      <c r="T19" s="54" t="e">
        <f>IF(AND('Mapa final'!#REF!="Alta",'Mapa final'!#REF!="Menor"),CONCATENATE("R4C",'Mapa final'!#REF!),"")</f>
        <v>#REF!</v>
      </c>
      <c r="U19" s="55" t="e">
        <f>IF(AND('Mapa final'!#REF!="Alta",'Mapa final'!#REF!="Menor"),CONCATENATE("R4C",'Mapa final'!#REF!),"")</f>
        <v>#REF!</v>
      </c>
      <c r="V19" s="38" t="e">
        <f>IF(AND('Mapa final'!#REF!="Alta",'Mapa final'!#REF!="Moderado"),CONCATENATE("R4C",'Mapa final'!#REF!),"")</f>
        <v>#REF!</v>
      </c>
      <c r="W19" s="39" t="e">
        <f>IF(AND('Mapa final'!#REF!="Alta",'Mapa final'!#REF!="Moderado"),CONCATENATE("R4C",'Mapa final'!#REF!),"")</f>
        <v>#REF!</v>
      </c>
      <c r="X19" s="39" t="e">
        <f>IF(AND('Mapa final'!#REF!="Alta",'Mapa final'!#REF!="Moderado"),CONCATENATE("R4C",'Mapa final'!#REF!),"")</f>
        <v>#REF!</v>
      </c>
      <c r="Y19" s="39" t="e">
        <f>IF(AND('Mapa final'!#REF!="Alta",'Mapa final'!#REF!="Moderado"),CONCATENATE("R4C",'Mapa final'!#REF!),"")</f>
        <v>#REF!</v>
      </c>
      <c r="Z19" s="39" t="e">
        <f>IF(AND('Mapa final'!#REF!="Alta",'Mapa final'!#REF!="Moderado"),CONCATENATE("R4C",'Mapa final'!#REF!),"")</f>
        <v>#REF!</v>
      </c>
      <c r="AA19" s="40" t="e">
        <f>IF(AND('Mapa final'!#REF!="Alta",'Mapa final'!#REF!="Moderado"),CONCATENATE("R4C",'Mapa final'!#REF!),"")</f>
        <v>#REF!</v>
      </c>
      <c r="AB19" s="38" t="e">
        <f>IF(AND('Mapa final'!#REF!="Alta",'Mapa final'!#REF!="Mayor"),CONCATENATE("R4C",'Mapa final'!#REF!),"")</f>
        <v>#REF!</v>
      </c>
      <c r="AC19" s="39" t="e">
        <f>IF(AND('Mapa final'!#REF!="Alta",'Mapa final'!#REF!="Mayor"),CONCATENATE("R4C",'Mapa final'!#REF!),"")</f>
        <v>#REF!</v>
      </c>
      <c r="AD19" s="39" t="e">
        <f>IF(AND('Mapa final'!#REF!="Alta",'Mapa final'!#REF!="Mayor"),CONCATENATE("R4C",'Mapa final'!#REF!),"")</f>
        <v>#REF!</v>
      </c>
      <c r="AE19" s="39" t="e">
        <f>IF(AND('Mapa final'!#REF!="Alta",'Mapa final'!#REF!="Mayor"),CONCATENATE("R4C",'Mapa final'!#REF!),"")</f>
        <v>#REF!</v>
      </c>
      <c r="AF19" s="39" t="e">
        <f>IF(AND('Mapa final'!#REF!="Alta",'Mapa final'!#REF!="Mayor"),CONCATENATE("R4C",'Mapa final'!#REF!),"")</f>
        <v>#REF!</v>
      </c>
      <c r="AG19" s="40" t="e">
        <f>IF(AND('Mapa final'!#REF!="Alta",'Mapa final'!#REF!="Mayor"),CONCATENATE("R4C",'Mapa final'!#REF!),"")</f>
        <v>#REF!</v>
      </c>
      <c r="AH19" s="41" t="e">
        <f>IF(AND('Mapa final'!#REF!="Alta",'Mapa final'!#REF!="Catastrófico"),CONCATENATE("R4C",'Mapa final'!#REF!),"")</f>
        <v>#REF!</v>
      </c>
      <c r="AI19" s="42" t="e">
        <f>IF(AND('Mapa final'!#REF!="Alta",'Mapa final'!#REF!="Catastrófico"),CONCATENATE("R4C",'Mapa final'!#REF!),"")</f>
        <v>#REF!</v>
      </c>
      <c r="AJ19" s="42" t="e">
        <f>IF(AND('Mapa final'!#REF!="Alta",'Mapa final'!#REF!="Catastrófico"),CONCATENATE("R4C",'Mapa final'!#REF!),"")</f>
        <v>#REF!</v>
      </c>
      <c r="AK19" s="42" t="e">
        <f>IF(AND('Mapa final'!#REF!="Alta",'Mapa final'!#REF!="Catastrófico"),CONCATENATE("R4C",'Mapa final'!#REF!),"")</f>
        <v>#REF!</v>
      </c>
      <c r="AL19" s="42" t="e">
        <f>IF(AND('Mapa final'!#REF!="Alta",'Mapa final'!#REF!="Catastrófico"),CONCATENATE("R4C",'Mapa final'!#REF!),"")</f>
        <v>#REF!</v>
      </c>
      <c r="AM19" s="43" t="e">
        <f>IF(AND('Mapa final'!#REF!="Alta",'Mapa final'!#REF!="Catastrófico"),CONCATENATE("R4C",'Mapa final'!#REF!),"")</f>
        <v>#REF!</v>
      </c>
      <c r="AN19" s="69"/>
      <c r="AO19" s="353"/>
      <c r="AP19" s="354"/>
      <c r="AQ19" s="354"/>
      <c r="AR19" s="354"/>
      <c r="AS19" s="354"/>
      <c r="AT19" s="355"/>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6" ht="15" customHeight="1" x14ac:dyDescent="0.25">
      <c r="A20" s="69"/>
      <c r="B20" s="302"/>
      <c r="C20" s="302"/>
      <c r="D20" s="303"/>
      <c r="E20" s="343"/>
      <c r="F20" s="344"/>
      <c r="G20" s="344"/>
      <c r="H20" s="344"/>
      <c r="I20" s="344"/>
      <c r="J20" s="53" t="e">
        <f>IF(AND('Mapa final'!#REF!="Alta",'Mapa final'!#REF!="Leve"),CONCATENATE("R5C",'Mapa final'!#REF!),"")</f>
        <v>#REF!</v>
      </c>
      <c r="K20" s="54" t="e">
        <f>IF(AND('Mapa final'!#REF!="Alta",'Mapa final'!#REF!="Leve"),CONCATENATE("R5C",'Mapa final'!#REF!),"")</f>
        <v>#REF!</v>
      </c>
      <c r="L20" s="54" t="e">
        <f>IF(AND('Mapa final'!#REF!="Alta",'Mapa final'!#REF!="Leve"),CONCATENATE("R5C",'Mapa final'!#REF!),"")</f>
        <v>#REF!</v>
      </c>
      <c r="M20" s="54" t="e">
        <f>IF(AND('Mapa final'!#REF!="Alta",'Mapa final'!#REF!="Leve"),CONCATENATE("R5C",'Mapa final'!#REF!),"")</f>
        <v>#REF!</v>
      </c>
      <c r="N20" s="54" t="e">
        <f>IF(AND('Mapa final'!#REF!="Alta",'Mapa final'!#REF!="Leve"),CONCATENATE("R5C",'Mapa final'!#REF!),"")</f>
        <v>#REF!</v>
      </c>
      <c r="O20" s="55" t="e">
        <f>IF(AND('Mapa final'!#REF!="Alta",'Mapa final'!#REF!="Leve"),CONCATENATE("R5C",'Mapa final'!#REF!),"")</f>
        <v>#REF!</v>
      </c>
      <c r="P20" s="53" t="e">
        <f>IF(AND('Mapa final'!#REF!="Alta",'Mapa final'!#REF!="Menor"),CONCATENATE("R5C",'Mapa final'!#REF!),"")</f>
        <v>#REF!</v>
      </c>
      <c r="Q20" s="54" t="e">
        <f>IF(AND('Mapa final'!#REF!="Alta",'Mapa final'!#REF!="Menor"),CONCATENATE("R5C",'Mapa final'!#REF!),"")</f>
        <v>#REF!</v>
      </c>
      <c r="R20" s="54" t="e">
        <f>IF(AND('Mapa final'!#REF!="Alta",'Mapa final'!#REF!="Menor"),CONCATENATE("R5C",'Mapa final'!#REF!),"")</f>
        <v>#REF!</v>
      </c>
      <c r="S20" s="54" t="e">
        <f>IF(AND('Mapa final'!#REF!="Alta",'Mapa final'!#REF!="Menor"),CONCATENATE("R5C",'Mapa final'!#REF!),"")</f>
        <v>#REF!</v>
      </c>
      <c r="T20" s="54" t="e">
        <f>IF(AND('Mapa final'!#REF!="Alta",'Mapa final'!#REF!="Menor"),CONCATENATE("R5C",'Mapa final'!#REF!),"")</f>
        <v>#REF!</v>
      </c>
      <c r="U20" s="55" t="e">
        <f>IF(AND('Mapa final'!#REF!="Alta",'Mapa final'!#REF!="Menor"),CONCATENATE("R5C",'Mapa final'!#REF!),"")</f>
        <v>#REF!</v>
      </c>
      <c r="V20" s="38" t="e">
        <f>IF(AND('Mapa final'!#REF!="Alta",'Mapa final'!#REF!="Moderado"),CONCATENATE("R5C",'Mapa final'!#REF!),"")</f>
        <v>#REF!</v>
      </c>
      <c r="W20" s="39" t="e">
        <f>IF(AND('Mapa final'!#REF!="Alta",'Mapa final'!#REF!="Moderado"),CONCATENATE("R5C",'Mapa final'!#REF!),"")</f>
        <v>#REF!</v>
      </c>
      <c r="X20" s="39" t="e">
        <f>IF(AND('Mapa final'!#REF!="Alta",'Mapa final'!#REF!="Moderado"),CONCATENATE("R5C",'Mapa final'!#REF!),"")</f>
        <v>#REF!</v>
      </c>
      <c r="Y20" s="39" t="e">
        <f>IF(AND('Mapa final'!#REF!="Alta",'Mapa final'!#REF!="Moderado"),CONCATENATE("R5C",'Mapa final'!#REF!),"")</f>
        <v>#REF!</v>
      </c>
      <c r="Z20" s="39" t="e">
        <f>IF(AND('Mapa final'!#REF!="Alta",'Mapa final'!#REF!="Moderado"),CONCATENATE("R5C",'Mapa final'!#REF!),"")</f>
        <v>#REF!</v>
      </c>
      <c r="AA20" s="40" t="e">
        <f>IF(AND('Mapa final'!#REF!="Alta",'Mapa final'!#REF!="Moderado"),CONCATENATE("R5C",'Mapa final'!#REF!),"")</f>
        <v>#REF!</v>
      </c>
      <c r="AB20" s="38" t="e">
        <f>IF(AND('Mapa final'!#REF!="Alta",'Mapa final'!#REF!="Mayor"),CONCATENATE("R5C",'Mapa final'!#REF!),"")</f>
        <v>#REF!</v>
      </c>
      <c r="AC20" s="39" t="e">
        <f>IF(AND('Mapa final'!#REF!="Alta",'Mapa final'!#REF!="Mayor"),CONCATENATE("R5C",'Mapa final'!#REF!),"")</f>
        <v>#REF!</v>
      </c>
      <c r="AD20" s="39" t="e">
        <f>IF(AND('Mapa final'!#REF!="Alta",'Mapa final'!#REF!="Mayor"),CONCATENATE("R5C",'Mapa final'!#REF!),"")</f>
        <v>#REF!</v>
      </c>
      <c r="AE20" s="39" t="e">
        <f>IF(AND('Mapa final'!#REF!="Alta",'Mapa final'!#REF!="Mayor"),CONCATENATE("R5C",'Mapa final'!#REF!),"")</f>
        <v>#REF!</v>
      </c>
      <c r="AF20" s="39" t="e">
        <f>IF(AND('Mapa final'!#REF!="Alta",'Mapa final'!#REF!="Mayor"),CONCATENATE("R5C",'Mapa final'!#REF!),"")</f>
        <v>#REF!</v>
      </c>
      <c r="AG20" s="40" t="e">
        <f>IF(AND('Mapa final'!#REF!="Alta",'Mapa final'!#REF!="Mayor"),CONCATENATE("R5C",'Mapa final'!#REF!),"")</f>
        <v>#REF!</v>
      </c>
      <c r="AH20" s="41" t="e">
        <f>IF(AND('Mapa final'!#REF!="Alta",'Mapa final'!#REF!="Catastrófico"),CONCATENATE("R5C",'Mapa final'!#REF!),"")</f>
        <v>#REF!</v>
      </c>
      <c r="AI20" s="42" t="e">
        <f>IF(AND('Mapa final'!#REF!="Alta",'Mapa final'!#REF!="Catastrófico"),CONCATENATE("R5C",'Mapa final'!#REF!),"")</f>
        <v>#REF!</v>
      </c>
      <c r="AJ20" s="42" t="e">
        <f>IF(AND('Mapa final'!#REF!="Alta",'Mapa final'!#REF!="Catastrófico"),CONCATENATE("R5C",'Mapa final'!#REF!),"")</f>
        <v>#REF!</v>
      </c>
      <c r="AK20" s="42" t="e">
        <f>IF(AND('Mapa final'!#REF!="Alta",'Mapa final'!#REF!="Catastrófico"),CONCATENATE("R5C",'Mapa final'!#REF!),"")</f>
        <v>#REF!</v>
      </c>
      <c r="AL20" s="42" t="e">
        <f>IF(AND('Mapa final'!#REF!="Alta",'Mapa final'!#REF!="Catastrófico"),CONCATENATE("R5C",'Mapa final'!#REF!),"")</f>
        <v>#REF!</v>
      </c>
      <c r="AM20" s="43" t="e">
        <f>IF(AND('Mapa final'!#REF!="Alta",'Mapa final'!#REF!="Catastrófico"),CONCATENATE("R5C",'Mapa final'!#REF!),"")</f>
        <v>#REF!</v>
      </c>
      <c r="AN20" s="69"/>
      <c r="AO20" s="353"/>
      <c r="AP20" s="354"/>
      <c r="AQ20" s="354"/>
      <c r="AR20" s="354"/>
      <c r="AS20" s="354"/>
      <c r="AT20" s="355"/>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row>
    <row r="21" spans="1:76" ht="15" customHeight="1" x14ac:dyDescent="0.25">
      <c r="A21" s="69"/>
      <c r="B21" s="302"/>
      <c r="C21" s="302"/>
      <c r="D21" s="303"/>
      <c r="E21" s="343"/>
      <c r="F21" s="344"/>
      <c r="G21" s="344"/>
      <c r="H21" s="344"/>
      <c r="I21" s="344"/>
      <c r="J21" s="53" t="e">
        <f>IF(AND('Mapa final'!#REF!="Alta",'Mapa final'!#REF!="Leve"),CONCATENATE("R6C",'Mapa final'!#REF!),"")</f>
        <v>#REF!</v>
      </c>
      <c r="K21" s="54" t="e">
        <f>IF(AND('Mapa final'!#REF!="Alta",'Mapa final'!#REF!="Leve"),CONCATENATE("R6C",'Mapa final'!#REF!),"")</f>
        <v>#REF!</v>
      </c>
      <c r="L21" s="54" t="e">
        <f>IF(AND('Mapa final'!#REF!="Alta",'Mapa final'!#REF!="Leve"),CONCATENATE("R6C",'Mapa final'!#REF!),"")</f>
        <v>#REF!</v>
      </c>
      <c r="M21" s="54" t="e">
        <f>IF(AND('Mapa final'!#REF!="Alta",'Mapa final'!#REF!="Leve"),CONCATENATE("R6C",'Mapa final'!#REF!),"")</f>
        <v>#REF!</v>
      </c>
      <c r="N21" s="54" t="e">
        <f>IF(AND('Mapa final'!#REF!="Alta",'Mapa final'!#REF!="Leve"),CONCATENATE("R6C",'Mapa final'!#REF!),"")</f>
        <v>#REF!</v>
      </c>
      <c r="O21" s="55" t="e">
        <f>IF(AND('Mapa final'!#REF!="Alta",'Mapa final'!#REF!="Leve"),CONCATENATE("R6C",'Mapa final'!#REF!),"")</f>
        <v>#REF!</v>
      </c>
      <c r="P21" s="53" t="e">
        <f>IF(AND('Mapa final'!#REF!="Alta",'Mapa final'!#REF!="Menor"),CONCATENATE("R6C",'Mapa final'!#REF!),"")</f>
        <v>#REF!</v>
      </c>
      <c r="Q21" s="54" t="e">
        <f>IF(AND('Mapa final'!#REF!="Alta",'Mapa final'!#REF!="Menor"),CONCATENATE("R6C",'Mapa final'!#REF!),"")</f>
        <v>#REF!</v>
      </c>
      <c r="R21" s="54" t="e">
        <f>IF(AND('Mapa final'!#REF!="Alta",'Mapa final'!#REF!="Menor"),CONCATENATE("R6C",'Mapa final'!#REF!),"")</f>
        <v>#REF!</v>
      </c>
      <c r="S21" s="54" t="e">
        <f>IF(AND('Mapa final'!#REF!="Alta",'Mapa final'!#REF!="Menor"),CONCATENATE("R6C",'Mapa final'!#REF!),"")</f>
        <v>#REF!</v>
      </c>
      <c r="T21" s="54" t="e">
        <f>IF(AND('Mapa final'!#REF!="Alta",'Mapa final'!#REF!="Menor"),CONCATENATE("R6C",'Mapa final'!#REF!),"")</f>
        <v>#REF!</v>
      </c>
      <c r="U21" s="55" t="e">
        <f>IF(AND('Mapa final'!#REF!="Alta",'Mapa final'!#REF!="Menor"),CONCATENATE("R6C",'Mapa final'!#REF!),"")</f>
        <v>#REF!</v>
      </c>
      <c r="V21" s="38" t="e">
        <f>IF(AND('Mapa final'!#REF!="Alta",'Mapa final'!#REF!="Moderado"),CONCATENATE("R6C",'Mapa final'!#REF!),"")</f>
        <v>#REF!</v>
      </c>
      <c r="W21" s="39" t="e">
        <f>IF(AND('Mapa final'!#REF!="Alta",'Mapa final'!#REF!="Moderado"),CONCATENATE("R6C",'Mapa final'!#REF!),"")</f>
        <v>#REF!</v>
      </c>
      <c r="X21" s="39" t="e">
        <f>IF(AND('Mapa final'!#REF!="Alta",'Mapa final'!#REF!="Moderado"),CONCATENATE("R6C",'Mapa final'!#REF!),"")</f>
        <v>#REF!</v>
      </c>
      <c r="Y21" s="39" t="e">
        <f>IF(AND('Mapa final'!#REF!="Alta",'Mapa final'!#REF!="Moderado"),CONCATENATE("R6C",'Mapa final'!#REF!),"")</f>
        <v>#REF!</v>
      </c>
      <c r="Z21" s="39" t="e">
        <f>IF(AND('Mapa final'!#REF!="Alta",'Mapa final'!#REF!="Moderado"),CONCATENATE("R6C",'Mapa final'!#REF!),"")</f>
        <v>#REF!</v>
      </c>
      <c r="AA21" s="40" t="e">
        <f>IF(AND('Mapa final'!#REF!="Alta",'Mapa final'!#REF!="Moderado"),CONCATENATE("R6C",'Mapa final'!#REF!),"")</f>
        <v>#REF!</v>
      </c>
      <c r="AB21" s="38" t="e">
        <f>IF(AND('Mapa final'!#REF!="Alta",'Mapa final'!#REF!="Mayor"),CONCATENATE("R6C",'Mapa final'!#REF!),"")</f>
        <v>#REF!</v>
      </c>
      <c r="AC21" s="39" t="e">
        <f>IF(AND('Mapa final'!#REF!="Alta",'Mapa final'!#REF!="Mayor"),CONCATENATE("R6C",'Mapa final'!#REF!),"")</f>
        <v>#REF!</v>
      </c>
      <c r="AD21" s="39" t="e">
        <f>IF(AND('Mapa final'!#REF!="Alta",'Mapa final'!#REF!="Mayor"),CONCATENATE("R6C",'Mapa final'!#REF!),"")</f>
        <v>#REF!</v>
      </c>
      <c r="AE21" s="39" t="e">
        <f>IF(AND('Mapa final'!#REF!="Alta",'Mapa final'!#REF!="Mayor"),CONCATENATE("R6C",'Mapa final'!#REF!),"")</f>
        <v>#REF!</v>
      </c>
      <c r="AF21" s="39" t="e">
        <f>IF(AND('Mapa final'!#REF!="Alta",'Mapa final'!#REF!="Mayor"),CONCATENATE("R6C",'Mapa final'!#REF!),"")</f>
        <v>#REF!</v>
      </c>
      <c r="AG21" s="40" t="e">
        <f>IF(AND('Mapa final'!#REF!="Alta",'Mapa final'!#REF!="Mayor"),CONCATENATE("R6C",'Mapa final'!#REF!),"")</f>
        <v>#REF!</v>
      </c>
      <c r="AH21" s="41" t="e">
        <f>IF(AND('Mapa final'!#REF!="Alta",'Mapa final'!#REF!="Catastrófico"),CONCATENATE("R6C",'Mapa final'!#REF!),"")</f>
        <v>#REF!</v>
      </c>
      <c r="AI21" s="42" t="e">
        <f>IF(AND('Mapa final'!#REF!="Alta",'Mapa final'!#REF!="Catastrófico"),CONCATENATE("R6C",'Mapa final'!#REF!),"")</f>
        <v>#REF!</v>
      </c>
      <c r="AJ21" s="42" t="e">
        <f>IF(AND('Mapa final'!#REF!="Alta",'Mapa final'!#REF!="Catastrófico"),CONCATENATE("R6C",'Mapa final'!#REF!),"")</f>
        <v>#REF!</v>
      </c>
      <c r="AK21" s="42" t="e">
        <f>IF(AND('Mapa final'!#REF!="Alta",'Mapa final'!#REF!="Catastrófico"),CONCATENATE("R6C",'Mapa final'!#REF!),"")</f>
        <v>#REF!</v>
      </c>
      <c r="AL21" s="42" t="e">
        <f>IF(AND('Mapa final'!#REF!="Alta",'Mapa final'!#REF!="Catastrófico"),CONCATENATE("R6C",'Mapa final'!#REF!),"")</f>
        <v>#REF!</v>
      </c>
      <c r="AM21" s="43" t="e">
        <f>IF(AND('Mapa final'!#REF!="Alta",'Mapa final'!#REF!="Catastrófico"),CONCATENATE("R6C",'Mapa final'!#REF!),"")</f>
        <v>#REF!</v>
      </c>
      <c r="AN21" s="69"/>
      <c r="AO21" s="353"/>
      <c r="AP21" s="354"/>
      <c r="AQ21" s="354"/>
      <c r="AR21" s="354"/>
      <c r="AS21" s="354"/>
      <c r="AT21" s="355"/>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row>
    <row r="22" spans="1:76" ht="15" customHeight="1" x14ac:dyDescent="0.25">
      <c r="A22" s="69"/>
      <c r="B22" s="302"/>
      <c r="C22" s="302"/>
      <c r="D22" s="303"/>
      <c r="E22" s="343"/>
      <c r="F22" s="344"/>
      <c r="G22" s="344"/>
      <c r="H22" s="344"/>
      <c r="I22" s="344"/>
      <c r="J22" s="53" t="e">
        <f>IF(AND('Mapa final'!#REF!="Alta",'Mapa final'!#REF!="Leve"),CONCATENATE("R7C",'Mapa final'!#REF!),"")</f>
        <v>#REF!</v>
      </c>
      <c r="K22" s="54" t="e">
        <f>IF(AND('Mapa final'!#REF!="Alta",'Mapa final'!#REF!="Leve"),CONCATENATE("R7C",'Mapa final'!#REF!),"")</f>
        <v>#REF!</v>
      </c>
      <c r="L22" s="54" t="e">
        <f>IF(AND('Mapa final'!#REF!="Alta",'Mapa final'!#REF!="Leve"),CONCATENATE("R7C",'Mapa final'!#REF!),"")</f>
        <v>#REF!</v>
      </c>
      <c r="M22" s="54" t="e">
        <f>IF(AND('Mapa final'!#REF!="Alta",'Mapa final'!#REF!="Leve"),CONCATENATE("R7C",'Mapa final'!#REF!),"")</f>
        <v>#REF!</v>
      </c>
      <c r="N22" s="54" t="e">
        <f>IF(AND('Mapa final'!#REF!="Alta",'Mapa final'!#REF!="Leve"),CONCATENATE("R7C",'Mapa final'!#REF!),"")</f>
        <v>#REF!</v>
      </c>
      <c r="O22" s="55" t="e">
        <f>IF(AND('Mapa final'!#REF!="Alta",'Mapa final'!#REF!="Leve"),CONCATENATE("R7C",'Mapa final'!#REF!),"")</f>
        <v>#REF!</v>
      </c>
      <c r="P22" s="53" t="e">
        <f>IF(AND('Mapa final'!#REF!="Alta",'Mapa final'!#REF!="Menor"),CONCATENATE("R7C",'Mapa final'!#REF!),"")</f>
        <v>#REF!</v>
      </c>
      <c r="Q22" s="54" t="e">
        <f>IF(AND('Mapa final'!#REF!="Alta",'Mapa final'!#REF!="Menor"),CONCATENATE("R7C",'Mapa final'!#REF!),"")</f>
        <v>#REF!</v>
      </c>
      <c r="R22" s="54" t="e">
        <f>IF(AND('Mapa final'!#REF!="Alta",'Mapa final'!#REF!="Menor"),CONCATENATE("R7C",'Mapa final'!#REF!),"")</f>
        <v>#REF!</v>
      </c>
      <c r="S22" s="54" t="e">
        <f>IF(AND('Mapa final'!#REF!="Alta",'Mapa final'!#REF!="Menor"),CONCATENATE("R7C",'Mapa final'!#REF!),"")</f>
        <v>#REF!</v>
      </c>
      <c r="T22" s="54" t="e">
        <f>IF(AND('Mapa final'!#REF!="Alta",'Mapa final'!#REF!="Menor"),CONCATENATE("R7C",'Mapa final'!#REF!),"")</f>
        <v>#REF!</v>
      </c>
      <c r="U22" s="55" t="e">
        <f>IF(AND('Mapa final'!#REF!="Alta",'Mapa final'!#REF!="Menor"),CONCATENATE("R7C",'Mapa final'!#REF!),"")</f>
        <v>#REF!</v>
      </c>
      <c r="V22" s="38" t="e">
        <f>IF(AND('Mapa final'!#REF!="Alta",'Mapa final'!#REF!="Moderado"),CONCATENATE("R7C",'Mapa final'!#REF!),"")</f>
        <v>#REF!</v>
      </c>
      <c r="W22" s="39" t="e">
        <f>IF(AND('Mapa final'!#REF!="Alta",'Mapa final'!#REF!="Moderado"),CONCATENATE("R7C",'Mapa final'!#REF!),"")</f>
        <v>#REF!</v>
      </c>
      <c r="X22" s="39" t="e">
        <f>IF(AND('Mapa final'!#REF!="Alta",'Mapa final'!#REF!="Moderado"),CONCATENATE("R7C",'Mapa final'!#REF!),"")</f>
        <v>#REF!</v>
      </c>
      <c r="Y22" s="39" t="e">
        <f>IF(AND('Mapa final'!#REF!="Alta",'Mapa final'!#REF!="Moderado"),CONCATENATE("R7C",'Mapa final'!#REF!),"")</f>
        <v>#REF!</v>
      </c>
      <c r="Z22" s="39" t="e">
        <f>IF(AND('Mapa final'!#REF!="Alta",'Mapa final'!#REF!="Moderado"),CONCATENATE("R7C",'Mapa final'!#REF!),"")</f>
        <v>#REF!</v>
      </c>
      <c r="AA22" s="40" t="e">
        <f>IF(AND('Mapa final'!#REF!="Alta",'Mapa final'!#REF!="Moderado"),CONCATENATE("R7C",'Mapa final'!#REF!),"")</f>
        <v>#REF!</v>
      </c>
      <c r="AB22" s="38" t="e">
        <f>IF(AND('Mapa final'!#REF!="Alta",'Mapa final'!#REF!="Mayor"),CONCATENATE("R7C",'Mapa final'!#REF!),"")</f>
        <v>#REF!</v>
      </c>
      <c r="AC22" s="39" t="e">
        <f>IF(AND('Mapa final'!#REF!="Alta",'Mapa final'!#REF!="Mayor"),CONCATENATE("R7C",'Mapa final'!#REF!),"")</f>
        <v>#REF!</v>
      </c>
      <c r="AD22" s="39" t="e">
        <f>IF(AND('Mapa final'!#REF!="Alta",'Mapa final'!#REF!="Mayor"),CONCATENATE("R7C",'Mapa final'!#REF!),"")</f>
        <v>#REF!</v>
      </c>
      <c r="AE22" s="39" t="e">
        <f>IF(AND('Mapa final'!#REF!="Alta",'Mapa final'!#REF!="Mayor"),CONCATENATE("R7C",'Mapa final'!#REF!),"")</f>
        <v>#REF!</v>
      </c>
      <c r="AF22" s="39" t="e">
        <f>IF(AND('Mapa final'!#REF!="Alta",'Mapa final'!#REF!="Mayor"),CONCATENATE("R7C",'Mapa final'!#REF!),"")</f>
        <v>#REF!</v>
      </c>
      <c r="AG22" s="40" t="e">
        <f>IF(AND('Mapa final'!#REF!="Alta",'Mapa final'!#REF!="Mayor"),CONCATENATE("R7C",'Mapa final'!#REF!),"")</f>
        <v>#REF!</v>
      </c>
      <c r="AH22" s="41" t="e">
        <f>IF(AND('Mapa final'!#REF!="Alta",'Mapa final'!#REF!="Catastrófico"),CONCATENATE("R7C",'Mapa final'!#REF!),"")</f>
        <v>#REF!</v>
      </c>
      <c r="AI22" s="42" t="e">
        <f>IF(AND('Mapa final'!#REF!="Alta",'Mapa final'!#REF!="Catastrófico"),CONCATENATE("R7C",'Mapa final'!#REF!),"")</f>
        <v>#REF!</v>
      </c>
      <c r="AJ22" s="42" t="e">
        <f>IF(AND('Mapa final'!#REF!="Alta",'Mapa final'!#REF!="Catastrófico"),CONCATENATE("R7C",'Mapa final'!#REF!),"")</f>
        <v>#REF!</v>
      </c>
      <c r="AK22" s="42" t="e">
        <f>IF(AND('Mapa final'!#REF!="Alta",'Mapa final'!#REF!="Catastrófico"),CONCATENATE("R7C",'Mapa final'!#REF!),"")</f>
        <v>#REF!</v>
      </c>
      <c r="AL22" s="42" t="e">
        <f>IF(AND('Mapa final'!#REF!="Alta",'Mapa final'!#REF!="Catastrófico"),CONCATENATE("R7C",'Mapa final'!#REF!),"")</f>
        <v>#REF!</v>
      </c>
      <c r="AM22" s="43" t="e">
        <f>IF(AND('Mapa final'!#REF!="Alta",'Mapa final'!#REF!="Catastrófico"),CONCATENATE("R7C",'Mapa final'!#REF!),"")</f>
        <v>#REF!</v>
      </c>
      <c r="AN22" s="69"/>
      <c r="AO22" s="353"/>
      <c r="AP22" s="354"/>
      <c r="AQ22" s="354"/>
      <c r="AR22" s="354"/>
      <c r="AS22" s="354"/>
      <c r="AT22" s="355"/>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row>
    <row r="23" spans="1:76" ht="15" customHeight="1" x14ac:dyDescent="0.25">
      <c r="A23" s="69"/>
      <c r="B23" s="302"/>
      <c r="C23" s="302"/>
      <c r="D23" s="303"/>
      <c r="E23" s="343"/>
      <c r="F23" s="344"/>
      <c r="G23" s="344"/>
      <c r="H23" s="344"/>
      <c r="I23" s="344"/>
      <c r="J23" s="53" t="e">
        <f>IF(AND('Mapa final'!#REF!="Alta",'Mapa final'!#REF!="Leve"),CONCATENATE("R8C",'Mapa final'!#REF!),"")</f>
        <v>#REF!</v>
      </c>
      <c r="K23" s="54" t="e">
        <f>IF(AND('Mapa final'!#REF!="Alta",'Mapa final'!#REF!="Leve"),CONCATENATE("R8C",'Mapa final'!#REF!),"")</f>
        <v>#REF!</v>
      </c>
      <c r="L23" s="54" t="e">
        <f>IF(AND('Mapa final'!#REF!="Alta",'Mapa final'!#REF!="Leve"),CONCATENATE("R8C",'Mapa final'!#REF!),"")</f>
        <v>#REF!</v>
      </c>
      <c r="M23" s="54" t="e">
        <f>IF(AND('Mapa final'!#REF!="Alta",'Mapa final'!#REF!="Leve"),CONCATENATE("R8C",'Mapa final'!#REF!),"")</f>
        <v>#REF!</v>
      </c>
      <c r="N23" s="54" t="e">
        <f>IF(AND('Mapa final'!#REF!="Alta",'Mapa final'!#REF!="Leve"),CONCATENATE("R8C",'Mapa final'!#REF!),"")</f>
        <v>#REF!</v>
      </c>
      <c r="O23" s="55" t="e">
        <f>IF(AND('Mapa final'!#REF!="Alta",'Mapa final'!#REF!="Leve"),CONCATENATE("R8C",'Mapa final'!#REF!),"")</f>
        <v>#REF!</v>
      </c>
      <c r="P23" s="53" t="e">
        <f>IF(AND('Mapa final'!#REF!="Alta",'Mapa final'!#REF!="Menor"),CONCATENATE("R8C",'Mapa final'!#REF!),"")</f>
        <v>#REF!</v>
      </c>
      <c r="Q23" s="54" t="e">
        <f>IF(AND('Mapa final'!#REF!="Alta",'Mapa final'!#REF!="Menor"),CONCATENATE("R8C",'Mapa final'!#REF!),"")</f>
        <v>#REF!</v>
      </c>
      <c r="R23" s="54" t="e">
        <f>IF(AND('Mapa final'!#REF!="Alta",'Mapa final'!#REF!="Menor"),CONCATENATE("R8C",'Mapa final'!#REF!),"")</f>
        <v>#REF!</v>
      </c>
      <c r="S23" s="54" t="e">
        <f>IF(AND('Mapa final'!#REF!="Alta",'Mapa final'!#REF!="Menor"),CONCATENATE("R8C",'Mapa final'!#REF!),"")</f>
        <v>#REF!</v>
      </c>
      <c r="T23" s="54" t="e">
        <f>IF(AND('Mapa final'!#REF!="Alta",'Mapa final'!#REF!="Menor"),CONCATENATE("R8C",'Mapa final'!#REF!),"")</f>
        <v>#REF!</v>
      </c>
      <c r="U23" s="55" t="e">
        <f>IF(AND('Mapa final'!#REF!="Alta",'Mapa final'!#REF!="Menor"),CONCATENATE("R8C",'Mapa final'!#REF!),"")</f>
        <v>#REF!</v>
      </c>
      <c r="V23" s="38" t="e">
        <f>IF(AND('Mapa final'!#REF!="Alta",'Mapa final'!#REF!="Moderado"),CONCATENATE("R8C",'Mapa final'!#REF!),"")</f>
        <v>#REF!</v>
      </c>
      <c r="W23" s="39" t="e">
        <f>IF(AND('Mapa final'!#REF!="Alta",'Mapa final'!#REF!="Moderado"),CONCATENATE("R8C",'Mapa final'!#REF!),"")</f>
        <v>#REF!</v>
      </c>
      <c r="X23" s="39" t="e">
        <f>IF(AND('Mapa final'!#REF!="Alta",'Mapa final'!#REF!="Moderado"),CONCATENATE("R8C",'Mapa final'!#REF!),"")</f>
        <v>#REF!</v>
      </c>
      <c r="Y23" s="39" t="e">
        <f>IF(AND('Mapa final'!#REF!="Alta",'Mapa final'!#REF!="Moderado"),CONCATENATE("R8C",'Mapa final'!#REF!),"")</f>
        <v>#REF!</v>
      </c>
      <c r="Z23" s="39" t="e">
        <f>IF(AND('Mapa final'!#REF!="Alta",'Mapa final'!#REF!="Moderado"),CONCATENATE("R8C",'Mapa final'!#REF!),"")</f>
        <v>#REF!</v>
      </c>
      <c r="AA23" s="40" t="e">
        <f>IF(AND('Mapa final'!#REF!="Alta",'Mapa final'!#REF!="Moderado"),CONCATENATE("R8C",'Mapa final'!#REF!),"")</f>
        <v>#REF!</v>
      </c>
      <c r="AB23" s="38" t="e">
        <f>IF(AND('Mapa final'!#REF!="Alta",'Mapa final'!#REF!="Mayor"),CONCATENATE("R8C",'Mapa final'!#REF!),"")</f>
        <v>#REF!</v>
      </c>
      <c r="AC23" s="39" t="e">
        <f>IF(AND('Mapa final'!#REF!="Alta",'Mapa final'!#REF!="Mayor"),CONCATENATE("R8C",'Mapa final'!#REF!),"")</f>
        <v>#REF!</v>
      </c>
      <c r="AD23" s="39" t="e">
        <f>IF(AND('Mapa final'!#REF!="Alta",'Mapa final'!#REF!="Mayor"),CONCATENATE("R8C",'Mapa final'!#REF!),"")</f>
        <v>#REF!</v>
      </c>
      <c r="AE23" s="39" t="e">
        <f>IF(AND('Mapa final'!#REF!="Alta",'Mapa final'!#REF!="Mayor"),CONCATENATE("R8C",'Mapa final'!#REF!),"")</f>
        <v>#REF!</v>
      </c>
      <c r="AF23" s="39" t="e">
        <f>IF(AND('Mapa final'!#REF!="Alta",'Mapa final'!#REF!="Mayor"),CONCATENATE("R8C",'Mapa final'!#REF!),"")</f>
        <v>#REF!</v>
      </c>
      <c r="AG23" s="40" t="e">
        <f>IF(AND('Mapa final'!#REF!="Alta",'Mapa final'!#REF!="Mayor"),CONCATENATE("R8C",'Mapa final'!#REF!),"")</f>
        <v>#REF!</v>
      </c>
      <c r="AH23" s="41" t="e">
        <f>IF(AND('Mapa final'!#REF!="Alta",'Mapa final'!#REF!="Catastrófico"),CONCATENATE("R8C",'Mapa final'!#REF!),"")</f>
        <v>#REF!</v>
      </c>
      <c r="AI23" s="42" t="e">
        <f>IF(AND('Mapa final'!#REF!="Alta",'Mapa final'!#REF!="Catastrófico"),CONCATENATE("R8C",'Mapa final'!#REF!),"")</f>
        <v>#REF!</v>
      </c>
      <c r="AJ23" s="42" t="e">
        <f>IF(AND('Mapa final'!#REF!="Alta",'Mapa final'!#REF!="Catastrófico"),CONCATENATE("R8C",'Mapa final'!#REF!),"")</f>
        <v>#REF!</v>
      </c>
      <c r="AK23" s="42" t="e">
        <f>IF(AND('Mapa final'!#REF!="Alta",'Mapa final'!#REF!="Catastrófico"),CONCATENATE("R8C",'Mapa final'!#REF!),"")</f>
        <v>#REF!</v>
      </c>
      <c r="AL23" s="42" t="e">
        <f>IF(AND('Mapa final'!#REF!="Alta",'Mapa final'!#REF!="Catastrófico"),CONCATENATE("R8C",'Mapa final'!#REF!),"")</f>
        <v>#REF!</v>
      </c>
      <c r="AM23" s="43" t="e">
        <f>IF(AND('Mapa final'!#REF!="Alta",'Mapa final'!#REF!="Catastrófico"),CONCATENATE("R8C",'Mapa final'!#REF!),"")</f>
        <v>#REF!</v>
      </c>
      <c r="AN23" s="69"/>
      <c r="AO23" s="353"/>
      <c r="AP23" s="354"/>
      <c r="AQ23" s="354"/>
      <c r="AR23" s="354"/>
      <c r="AS23" s="354"/>
      <c r="AT23" s="355"/>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row>
    <row r="24" spans="1:76" ht="15" customHeight="1" x14ac:dyDescent="0.25">
      <c r="A24" s="69"/>
      <c r="B24" s="302"/>
      <c r="C24" s="302"/>
      <c r="D24" s="303"/>
      <c r="E24" s="343"/>
      <c r="F24" s="344"/>
      <c r="G24" s="344"/>
      <c r="H24" s="344"/>
      <c r="I24" s="344"/>
      <c r="J24" s="53" t="e">
        <f>IF(AND('Mapa final'!#REF!="Alta",'Mapa final'!#REF!="Leve"),CONCATENATE("R9C",'Mapa final'!#REF!),"")</f>
        <v>#REF!</v>
      </c>
      <c r="K24" s="54" t="e">
        <f>IF(AND('Mapa final'!#REF!="Alta",'Mapa final'!#REF!="Leve"),CONCATENATE("R9C",'Mapa final'!#REF!),"")</f>
        <v>#REF!</v>
      </c>
      <c r="L24" s="54" t="e">
        <f>IF(AND('Mapa final'!#REF!="Alta",'Mapa final'!#REF!="Leve"),CONCATENATE("R9C",'Mapa final'!#REF!),"")</f>
        <v>#REF!</v>
      </c>
      <c r="M24" s="54" t="e">
        <f>IF(AND('Mapa final'!#REF!="Alta",'Mapa final'!#REF!="Leve"),CONCATENATE("R9C",'Mapa final'!#REF!),"")</f>
        <v>#REF!</v>
      </c>
      <c r="N24" s="54" t="e">
        <f>IF(AND('Mapa final'!#REF!="Alta",'Mapa final'!#REF!="Leve"),CONCATENATE("R9C",'Mapa final'!#REF!),"")</f>
        <v>#REF!</v>
      </c>
      <c r="O24" s="55" t="e">
        <f>IF(AND('Mapa final'!#REF!="Alta",'Mapa final'!#REF!="Leve"),CONCATENATE("R9C",'Mapa final'!#REF!),"")</f>
        <v>#REF!</v>
      </c>
      <c r="P24" s="53" t="e">
        <f>IF(AND('Mapa final'!#REF!="Alta",'Mapa final'!#REF!="Menor"),CONCATENATE("R9C",'Mapa final'!#REF!),"")</f>
        <v>#REF!</v>
      </c>
      <c r="Q24" s="54" t="e">
        <f>IF(AND('Mapa final'!#REF!="Alta",'Mapa final'!#REF!="Menor"),CONCATENATE("R9C",'Mapa final'!#REF!),"")</f>
        <v>#REF!</v>
      </c>
      <c r="R24" s="54" t="e">
        <f>IF(AND('Mapa final'!#REF!="Alta",'Mapa final'!#REF!="Menor"),CONCATENATE("R9C",'Mapa final'!#REF!),"")</f>
        <v>#REF!</v>
      </c>
      <c r="S24" s="54" t="e">
        <f>IF(AND('Mapa final'!#REF!="Alta",'Mapa final'!#REF!="Menor"),CONCATENATE("R9C",'Mapa final'!#REF!),"")</f>
        <v>#REF!</v>
      </c>
      <c r="T24" s="54" t="e">
        <f>IF(AND('Mapa final'!#REF!="Alta",'Mapa final'!#REF!="Menor"),CONCATENATE("R9C",'Mapa final'!#REF!),"")</f>
        <v>#REF!</v>
      </c>
      <c r="U24" s="55" t="e">
        <f>IF(AND('Mapa final'!#REF!="Alta",'Mapa final'!#REF!="Menor"),CONCATENATE("R9C",'Mapa final'!#REF!),"")</f>
        <v>#REF!</v>
      </c>
      <c r="V24" s="38" t="e">
        <f>IF(AND('Mapa final'!#REF!="Alta",'Mapa final'!#REF!="Moderado"),CONCATENATE("R9C",'Mapa final'!#REF!),"")</f>
        <v>#REF!</v>
      </c>
      <c r="W24" s="39" t="e">
        <f>IF(AND('Mapa final'!#REF!="Alta",'Mapa final'!#REF!="Moderado"),CONCATENATE("R9C",'Mapa final'!#REF!),"")</f>
        <v>#REF!</v>
      </c>
      <c r="X24" s="39" t="e">
        <f>IF(AND('Mapa final'!#REF!="Alta",'Mapa final'!#REF!="Moderado"),CONCATENATE("R9C",'Mapa final'!#REF!),"")</f>
        <v>#REF!</v>
      </c>
      <c r="Y24" s="39" t="e">
        <f>IF(AND('Mapa final'!#REF!="Alta",'Mapa final'!#REF!="Moderado"),CONCATENATE("R9C",'Mapa final'!#REF!),"")</f>
        <v>#REF!</v>
      </c>
      <c r="Z24" s="39" t="e">
        <f>IF(AND('Mapa final'!#REF!="Alta",'Mapa final'!#REF!="Moderado"),CONCATENATE("R9C",'Mapa final'!#REF!),"")</f>
        <v>#REF!</v>
      </c>
      <c r="AA24" s="40" t="e">
        <f>IF(AND('Mapa final'!#REF!="Alta",'Mapa final'!#REF!="Moderado"),CONCATENATE("R9C",'Mapa final'!#REF!),"")</f>
        <v>#REF!</v>
      </c>
      <c r="AB24" s="38" t="e">
        <f>IF(AND('Mapa final'!#REF!="Alta",'Mapa final'!#REF!="Mayor"),CONCATENATE("R9C",'Mapa final'!#REF!),"")</f>
        <v>#REF!</v>
      </c>
      <c r="AC24" s="39" t="e">
        <f>IF(AND('Mapa final'!#REF!="Alta",'Mapa final'!#REF!="Mayor"),CONCATENATE("R9C",'Mapa final'!#REF!),"")</f>
        <v>#REF!</v>
      </c>
      <c r="AD24" s="39" t="e">
        <f>IF(AND('Mapa final'!#REF!="Alta",'Mapa final'!#REF!="Mayor"),CONCATENATE("R9C",'Mapa final'!#REF!),"")</f>
        <v>#REF!</v>
      </c>
      <c r="AE24" s="39" t="e">
        <f>IF(AND('Mapa final'!#REF!="Alta",'Mapa final'!#REF!="Mayor"),CONCATENATE("R9C",'Mapa final'!#REF!),"")</f>
        <v>#REF!</v>
      </c>
      <c r="AF24" s="39" t="e">
        <f>IF(AND('Mapa final'!#REF!="Alta",'Mapa final'!#REF!="Mayor"),CONCATENATE("R9C",'Mapa final'!#REF!),"")</f>
        <v>#REF!</v>
      </c>
      <c r="AG24" s="40" t="e">
        <f>IF(AND('Mapa final'!#REF!="Alta",'Mapa final'!#REF!="Mayor"),CONCATENATE("R9C",'Mapa final'!#REF!),"")</f>
        <v>#REF!</v>
      </c>
      <c r="AH24" s="41" t="e">
        <f>IF(AND('Mapa final'!#REF!="Alta",'Mapa final'!#REF!="Catastrófico"),CONCATENATE("R9C",'Mapa final'!#REF!),"")</f>
        <v>#REF!</v>
      </c>
      <c r="AI24" s="42" t="e">
        <f>IF(AND('Mapa final'!#REF!="Alta",'Mapa final'!#REF!="Catastrófico"),CONCATENATE("R9C",'Mapa final'!#REF!),"")</f>
        <v>#REF!</v>
      </c>
      <c r="AJ24" s="42" t="e">
        <f>IF(AND('Mapa final'!#REF!="Alta",'Mapa final'!#REF!="Catastrófico"),CONCATENATE("R9C",'Mapa final'!#REF!),"")</f>
        <v>#REF!</v>
      </c>
      <c r="AK24" s="42" t="e">
        <f>IF(AND('Mapa final'!#REF!="Alta",'Mapa final'!#REF!="Catastrófico"),CONCATENATE("R9C",'Mapa final'!#REF!),"")</f>
        <v>#REF!</v>
      </c>
      <c r="AL24" s="42" t="e">
        <f>IF(AND('Mapa final'!#REF!="Alta",'Mapa final'!#REF!="Catastrófico"),CONCATENATE("R9C",'Mapa final'!#REF!),"")</f>
        <v>#REF!</v>
      </c>
      <c r="AM24" s="43" t="e">
        <f>IF(AND('Mapa final'!#REF!="Alta",'Mapa final'!#REF!="Catastrófico"),CONCATENATE("R9C",'Mapa final'!#REF!),"")</f>
        <v>#REF!</v>
      </c>
      <c r="AN24" s="69"/>
      <c r="AO24" s="353"/>
      <c r="AP24" s="354"/>
      <c r="AQ24" s="354"/>
      <c r="AR24" s="354"/>
      <c r="AS24" s="354"/>
      <c r="AT24" s="355"/>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row>
    <row r="25" spans="1:76" ht="15.75" customHeight="1" thickBot="1" x14ac:dyDescent="0.3">
      <c r="A25" s="69"/>
      <c r="B25" s="302"/>
      <c r="C25" s="302"/>
      <c r="D25" s="303"/>
      <c r="E25" s="346"/>
      <c r="F25" s="347"/>
      <c r="G25" s="347"/>
      <c r="H25" s="347"/>
      <c r="I25" s="347"/>
      <c r="J25" s="56" t="e">
        <f>IF(AND('Mapa final'!#REF!="Alta",'Mapa final'!#REF!="Leve"),CONCATENATE("R10C",'Mapa final'!#REF!),"")</f>
        <v>#REF!</v>
      </c>
      <c r="K25" s="57" t="e">
        <f>IF(AND('Mapa final'!#REF!="Alta",'Mapa final'!#REF!="Leve"),CONCATENATE("R10C",'Mapa final'!#REF!),"")</f>
        <v>#REF!</v>
      </c>
      <c r="L25" s="57" t="e">
        <f>IF(AND('Mapa final'!#REF!="Alta",'Mapa final'!#REF!="Leve"),CONCATENATE("R10C",'Mapa final'!#REF!),"")</f>
        <v>#REF!</v>
      </c>
      <c r="M25" s="57" t="e">
        <f>IF(AND('Mapa final'!#REF!="Alta",'Mapa final'!#REF!="Leve"),CONCATENATE("R10C",'Mapa final'!#REF!),"")</f>
        <v>#REF!</v>
      </c>
      <c r="N25" s="57" t="e">
        <f>IF(AND('Mapa final'!#REF!="Alta",'Mapa final'!#REF!="Leve"),CONCATENATE("R10C",'Mapa final'!#REF!),"")</f>
        <v>#REF!</v>
      </c>
      <c r="O25" s="58" t="e">
        <f>IF(AND('Mapa final'!#REF!="Alta",'Mapa final'!#REF!="Leve"),CONCATENATE("R10C",'Mapa final'!#REF!),"")</f>
        <v>#REF!</v>
      </c>
      <c r="P25" s="56" t="e">
        <f>IF(AND('Mapa final'!#REF!="Alta",'Mapa final'!#REF!="Menor"),CONCATENATE("R10C",'Mapa final'!#REF!),"")</f>
        <v>#REF!</v>
      </c>
      <c r="Q25" s="57" t="e">
        <f>IF(AND('Mapa final'!#REF!="Alta",'Mapa final'!#REF!="Menor"),CONCATENATE("R10C",'Mapa final'!#REF!),"")</f>
        <v>#REF!</v>
      </c>
      <c r="R25" s="57" t="e">
        <f>IF(AND('Mapa final'!#REF!="Alta",'Mapa final'!#REF!="Menor"),CONCATENATE("R10C",'Mapa final'!#REF!),"")</f>
        <v>#REF!</v>
      </c>
      <c r="S25" s="57" t="e">
        <f>IF(AND('Mapa final'!#REF!="Alta",'Mapa final'!#REF!="Menor"),CONCATENATE("R10C",'Mapa final'!#REF!),"")</f>
        <v>#REF!</v>
      </c>
      <c r="T25" s="57" t="e">
        <f>IF(AND('Mapa final'!#REF!="Alta",'Mapa final'!#REF!="Menor"),CONCATENATE("R10C",'Mapa final'!#REF!),"")</f>
        <v>#REF!</v>
      </c>
      <c r="U25" s="58" t="e">
        <f>IF(AND('Mapa final'!#REF!="Alta",'Mapa final'!#REF!="Menor"),CONCATENATE("R10C",'Mapa final'!#REF!),"")</f>
        <v>#REF!</v>
      </c>
      <c r="V25" s="44" t="e">
        <f>IF(AND('Mapa final'!#REF!="Alta",'Mapa final'!#REF!="Moderado"),CONCATENATE("R10C",'Mapa final'!#REF!),"")</f>
        <v>#REF!</v>
      </c>
      <c r="W25" s="45" t="e">
        <f>IF(AND('Mapa final'!#REF!="Alta",'Mapa final'!#REF!="Moderado"),CONCATENATE("R10C",'Mapa final'!#REF!),"")</f>
        <v>#REF!</v>
      </c>
      <c r="X25" s="45" t="e">
        <f>IF(AND('Mapa final'!#REF!="Alta",'Mapa final'!#REF!="Moderado"),CONCATENATE("R10C",'Mapa final'!#REF!),"")</f>
        <v>#REF!</v>
      </c>
      <c r="Y25" s="45" t="e">
        <f>IF(AND('Mapa final'!#REF!="Alta",'Mapa final'!#REF!="Moderado"),CONCATENATE("R10C",'Mapa final'!#REF!),"")</f>
        <v>#REF!</v>
      </c>
      <c r="Z25" s="45" t="e">
        <f>IF(AND('Mapa final'!#REF!="Alta",'Mapa final'!#REF!="Moderado"),CONCATENATE("R10C",'Mapa final'!#REF!),"")</f>
        <v>#REF!</v>
      </c>
      <c r="AA25" s="46" t="e">
        <f>IF(AND('Mapa final'!#REF!="Alta",'Mapa final'!#REF!="Moderado"),CONCATENATE("R10C",'Mapa final'!#REF!),"")</f>
        <v>#REF!</v>
      </c>
      <c r="AB25" s="44" t="e">
        <f>IF(AND('Mapa final'!#REF!="Alta",'Mapa final'!#REF!="Mayor"),CONCATENATE("R10C",'Mapa final'!#REF!),"")</f>
        <v>#REF!</v>
      </c>
      <c r="AC25" s="45" t="e">
        <f>IF(AND('Mapa final'!#REF!="Alta",'Mapa final'!#REF!="Mayor"),CONCATENATE("R10C",'Mapa final'!#REF!),"")</f>
        <v>#REF!</v>
      </c>
      <c r="AD25" s="45" t="e">
        <f>IF(AND('Mapa final'!#REF!="Alta",'Mapa final'!#REF!="Mayor"),CONCATENATE("R10C",'Mapa final'!#REF!),"")</f>
        <v>#REF!</v>
      </c>
      <c r="AE25" s="45" t="e">
        <f>IF(AND('Mapa final'!#REF!="Alta",'Mapa final'!#REF!="Mayor"),CONCATENATE("R10C",'Mapa final'!#REF!),"")</f>
        <v>#REF!</v>
      </c>
      <c r="AF25" s="45" t="e">
        <f>IF(AND('Mapa final'!#REF!="Alta",'Mapa final'!#REF!="Mayor"),CONCATENATE("R10C",'Mapa final'!#REF!),"")</f>
        <v>#REF!</v>
      </c>
      <c r="AG25" s="46" t="e">
        <f>IF(AND('Mapa final'!#REF!="Alta",'Mapa final'!#REF!="Mayor"),CONCATENATE("R10C",'Mapa final'!#REF!),"")</f>
        <v>#REF!</v>
      </c>
      <c r="AH25" s="47" t="e">
        <f>IF(AND('Mapa final'!#REF!="Alta",'Mapa final'!#REF!="Catastrófico"),CONCATENATE("R10C",'Mapa final'!#REF!),"")</f>
        <v>#REF!</v>
      </c>
      <c r="AI25" s="48" t="e">
        <f>IF(AND('Mapa final'!#REF!="Alta",'Mapa final'!#REF!="Catastrófico"),CONCATENATE("R10C",'Mapa final'!#REF!),"")</f>
        <v>#REF!</v>
      </c>
      <c r="AJ25" s="48" t="e">
        <f>IF(AND('Mapa final'!#REF!="Alta",'Mapa final'!#REF!="Catastrófico"),CONCATENATE("R10C",'Mapa final'!#REF!),"")</f>
        <v>#REF!</v>
      </c>
      <c r="AK25" s="48" t="e">
        <f>IF(AND('Mapa final'!#REF!="Alta",'Mapa final'!#REF!="Catastrófico"),CONCATENATE("R10C",'Mapa final'!#REF!),"")</f>
        <v>#REF!</v>
      </c>
      <c r="AL25" s="48" t="e">
        <f>IF(AND('Mapa final'!#REF!="Alta",'Mapa final'!#REF!="Catastrófico"),CONCATENATE("R10C",'Mapa final'!#REF!),"")</f>
        <v>#REF!</v>
      </c>
      <c r="AM25" s="49" t="e">
        <f>IF(AND('Mapa final'!#REF!="Alta",'Mapa final'!#REF!="Catastrófico"),CONCATENATE("R10C",'Mapa final'!#REF!),"")</f>
        <v>#REF!</v>
      </c>
      <c r="AN25" s="69"/>
      <c r="AO25" s="356"/>
      <c r="AP25" s="357"/>
      <c r="AQ25" s="357"/>
      <c r="AR25" s="357"/>
      <c r="AS25" s="357"/>
      <c r="AT25" s="358"/>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row>
    <row r="26" spans="1:76" ht="15" customHeight="1" x14ac:dyDescent="0.25">
      <c r="A26" s="69"/>
      <c r="B26" s="302"/>
      <c r="C26" s="302"/>
      <c r="D26" s="303"/>
      <c r="E26" s="340" t="s">
        <v>116</v>
      </c>
      <c r="F26" s="341"/>
      <c r="G26" s="341"/>
      <c r="H26" s="341"/>
      <c r="I26" s="342"/>
      <c r="J26" s="50" t="e">
        <f>IF(AND('Mapa final'!#REF!="Media",'Mapa final'!#REF!="Leve"),CONCATENATE("R1C",'Mapa final'!#REF!),"")</f>
        <v>#REF!</v>
      </c>
      <c r="K26" s="51" t="e">
        <f>IF(AND('Mapa final'!#REF!="Media",'Mapa final'!#REF!="Leve"),CONCATENATE("R1C",'Mapa final'!#REF!),"")</f>
        <v>#REF!</v>
      </c>
      <c r="L26" s="51" t="e">
        <f>IF(AND('Mapa final'!#REF!="Media",'Mapa final'!#REF!="Leve"),CONCATENATE("R1C",'Mapa final'!#REF!),"")</f>
        <v>#REF!</v>
      </c>
      <c r="M26" s="51" t="e">
        <f>IF(AND('Mapa final'!#REF!="Media",'Mapa final'!#REF!="Leve"),CONCATENATE("R1C",'Mapa final'!#REF!),"")</f>
        <v>#REF!</v>
      </c>
      <c r="N26" s="51" t="e">
        <f>IF(AND('Mapa final'!#REF!="Media",'Mapa final'!#REF!="Leve"),CONCATENATE("R1C",'Mapa final'!#REF!),"")</f>
        <v>#REF!</v>
      </c>
      <c r="O26" s="52" t="e">
        <f>IF(AND('Mapa final'!#REF!="Media",'Mapa final'!#REF!="Leve"),CONCATENATE("R1C",'Mapa final'!#REF!),"")</f>
        <v>#REF!</v>
      </c>
      <c r="P26" s="50" t="e">
        <f>IF(AND('Mapa final'!#REF!="Media",'Mapa final'!#REF!="Menor"),CONCATENATE("R1C",'Mapa final'!#REF!),"")</f>
        <v>#REF!</v>
      </c>
      <c r="Q26" s="51" t="e">
        <f>IF(AND('Mapa final'!#REF!="Media",'Mapa final'!#REF!="Menor"),CONCATENATE("R1C",'Mapa final'!#REF!),"")</f>
        <v>#REF!</v>
      </c>
      <c r="R26" s="51" t="e">
        <f>IF(AND('Mapa final'!#REF!="Media",'Mapa final'!#REF!="Menor"),CONCATENATE("R1C",'Mapa final'!#REF!),"")</f>
        <v>#REF!</v>
      </c>
      <c r="S26" s="51" t="e">
        <f>IF(AND('Mapa final'!#REF!="Media",'Mapa final'!#REF!="Menor"),CONCATENATE("R1C",'Mapa final'!#REF!),"")</f>
        <v>#REF!</v>
      </c>
      <c r="T26" s="51" t="e">
        <f>IF(AND('Mapa final'!#REF!="Media",'Mapa final'!#REF!="Menor"),CONCATENATE("R1C",'Mapa final'!#REF!),"")</f>
        <v>#REF!</v>
      </c>
      <c r="U26" s="52" t="e">
        <f>IF(AND('Mapa final'!#REF!="Media",'Mapa final'!#REF!="Menor"),CONCATENATE("R1C",'Mapa final'!#REF!),"")</f>
        <v>#REF!</v>
      </c>
      <c r="V26" s="50" t="e">
        <f>IF(AND('Mapa final'!#REF!="Media",'Mapa final'!#REF!="Moderado"),CONCATENATE("R1C",'Mapa final'!#REF!),"")</f>
        <v>#REF!</v>
      </c>
      <c r="W26" s="51" t="e">
        <f>IF(AND('Mapa final'!#REF!="Media",'Mapa final'!#REF!="Moderado"),CONCATENATE("R1C",'Mapa final'!#REF!),"")</f>
        <v>#REF!</v>
      </c>
      <c r="X26" s="51" t="e">
        <f>IF(AND('Mapa final'!#REF!="Media",'Mapa final'!#REF!="Moderado"),CONCATENATE("R1C",'Mapa final'!#REF!),"")</f>
        <v>#REF!</v>
      </c>
      <c r="Y26" s="51" t="e">
        <f>IF(AND('Mapa final'!#REF!="Media",'Mapa final'!#REF!="Moderado"),CONCATENATE("R1C",'Mapa final'!#REF!),"")</f>
        <v>#REF!</v>
      </c>
      <c r="Z26" s="51" t="e">
        <f>IF(AND('Mapa final'!#REF!="Media",'Mapa final'!#REF!="Moderado"),CONCATENATE("R1C",'Mapa final'!#REF!),"")</f>
        <v>#REF!</v>
      </c>
      <c r="AA26" s="52" t="e">
        <f>IF(AND('Mapa final'!#REF!="Media",'Mapa final'!#REF!="Moderado"),CONCATENATE("R1C",'Mapa final'!#REF!),"")</f>
        <v>#REF!</v>
      </c>
      <c r="AB26" s="32" t="e">
        <f>IF(AND('Mapa final'!#REF!="Media",'Mapa final'!#REF!="Mayor"),CONCATENATE("R1C",'Mapa final'!#REF!),"")</f>
        <v>#REF!</v>
      </c>
      <c r="AC26" s="33" t="e">
        <f>IF(AND('Mapa final'!#REF!="Media",'Mapa final'!#REF!="Mayor"),CONCATENATE("R1C",'Mapa final'!#REF!),"")</f>
        <v>#REF!</v>
      </c>
      <c r="AD26" s="33" t="e">
        <f>IF(AND('Mapa final'!#REF!="Media",'Mapa final'!#REF!="Mayor"),CONCATENATE("R1C",'Mapa final'!#REF!),"")</f>
        <v>#REF!</v>
      </c>
      <c r="AE26" s="33" t="e">
        <f>IF(AND('Mapa final'!#REF!="Media",'Mapa final'!#REF!="Mayor"),CONCATENATE("R1C",'Mapa final'!#REF!),"")</f>
        <v>#REF!</v>
      </c>
      <c r="AF26" s="33" t="e">
        <f>IF(AND('Mapa final'!#REF!="Media",'Mapa final'!#REF!="Mayor"),CONCATENATE("R1C",'Mapa final'!#REF!),"")</f>
        <v>#REF!</v>
      </c>
      <c r="AG26" s="34" t="e">
        <f>IF(AND('Mapa final'!#REF!="Media",'Mapa final'!#REF!="Mayor"),CONCATENATE("R1C",'Mapa final'!#REF!),"")</f>
        <v>#REF!</v>
      </c>
      <c r="AH26" s="35" t="e">
        <f>IF(AND('Mapa final'!#REF!="Media",'Mapa final'!#REF!="Catastrófico"),CONCATENATE("R1C",'Mapa final'!#REF!),"")</f>
        <v>#REF!</v>
      </c>
      <c r="AI26" s="36" t="e">
        <f>IF(AND('Mapa final'!#REF!="Media",'Mapa final'!#REF!="Catastrófico"),CONCATENATE("R1C",'Mapa final'!#REF!),"")</f>
        <v>#REF!</v>
      </c>
      <c r="AJ26" s="36" t="e">
        <f>IF(AND('Mapa final'!#REF!="Media",'Mapa final'!#REF!="Catastrófico"),CONCATENATE("R1C",'Mapa final'!#REF!),"")</f>
        <v>#REF!</v>
      </c>
      <c r="AK26" s="36" t="e">
        <f>IF(AND('Mapa final'!#REF!="Media",'Mapa final'!#REF!="Catastrófico"),CONCATENATE("R1C",'Mapa final'!#REF!),"")</f>
        <v>#REF!</v>
      </c>
      <c r="AL26" s="36" t="e">
        <f>IF(AND('Mapa final'!#REF!="Media",'Mapa final'!#REF!="Catastrófico"),CONCATENATE("R1C",'Mapa final'!#REF!),"")</f>
        <v>#REF!</v>
      </c>
      <c r="AM26" s="37" t="e">
        <f>IF(AND('Mapa final'!#REF!="Media",'Mapa final'!#REF!="Catastrófico"),CONCATENATE("R1C",'Mapa final'!#REF!),"")</f>
        <v>#REF!</v>
      </c>
      <c r="AN26" s="69"/>
      <c r="AO26" s="380" t="s">
        <v>80</v>
      </c>
      <c r="AP26" s="381"/>
      <c r="AQ26" s="381"/>
      <c r="AR26" s="381"/>
      <c r="AS26" s="381"/>
      <c r="AT26" s="382"/>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row>
    <row r="27" spans="1:76" ht="15" customHeight="1" x14ac:dyDescent="0.25">
      <c r="A27" s="69"/>
      <c r="B27" s="302"/>
      <c r="C27" s="302"/>
      <c r="D27" s="303"/>
      <c r="E27" s="359"/>
      <c r="F27" s="344"/>
      <c r="G27" s="344"/>
      <c r="H27" s="344"/>
      <c r="I27" s="345"/>
      <c r="J27" s="53" t="str">
        <f>IF(AND('Mapa final'!$AD$13="Media",'Mapa final'!$AF$13="Leve"),CONCATENATE("R2C",'Mapa final'!$S$13),"")</f>
        <v/>
      </c>
      <c r="K27" s="54" t="str">
        <f>IF(AND('Mapa final'!$AD$17="Media",'Mapa final'!$AF$17="Leve"),CONCATENATE("R2C",'Mapa final'!$S$17),"")</f>
        <v>R2C1</v>
      </c>
      <c r="L27" s="54" t="e">
        <f>IF(AND('Mapa final'!#REF!="Media",'Mapa final'!#REF!="Leve"),CONCATENATE("R2C",'Mapa final'!#REF!),"")</f>
        <v>#REF!</v>
      </c>
      <c r="M27" s="54" t="e">
        <f>IF(AND('Mapa final'!#REF!="Media",'Mapa final'!#REF!="Leve"),CONCATENATE("R2C",'Mapa final'!#REF!),"")</f>
        <v>#REF!</v>
      </c>
      <c r="N27" s="54" t="e">
        <f>IF(AND('Mapa final'!#REF!="Media",'Mapa final'!#REF!="Leve"),CONCATENATE("R2C",'Mapa final'!#REF!),"")</f>
        <v>#REF!</v>
      </c>
      <c r="O27" s="55" t="e">
        <f>IF(AND('Mapa final'!#REF!="Media",'Mapa final'!#REF!="Leve"),CONCATENATE("R2C",'Mapa final'!#REF!),"")</f>
        <v>#REF!</v>
      </c>
      <c r="P27" s="53" t="str">
        <f>IF(AND('Mapa final'!$AD$13="Media",'Mapa final'!$AF$13="Menor"),CONCATENATE("R2C",'Mapa final'!$S$13),"")</f>
        <v/>
      </c>
      <c r="Q27" s="54" t="str">
        <f>IF(AND('Mapa final'!$AD$17="Media",'Mapa final'!$AF$17="Menor"),CONCATENATE("R2C",'Mapa final'!$S$17),"")</f>
        <v/>
      </c>
      <c r="R27" s="54" t="e">
        <f>IF(AND('Mapa final'!#REF!="Media",'Mapa final'!#REF!="Menor"),CONCATENATE("R2C",'Mapa final'!#REF!),"")</f>
        <v>#REF!</v>
      </c>
      <c r="S27" s="54" t="e">
        <f>IF(AND('Mapa final'!#REF!="Media",'Mapa final'!#REF!="Menor"),CONCATENATE("R2C",'Mapa final'!#REF!),"")</f>
        <v>#REF!</v>
      </c>
      <c r="T27" s="54" t="e">
        <f>IF(AND('Mapa final'!#REF!="Media",'Mapa final'!#REF!="Menor"),CONCATENATE("R2C",'Mapa final'!#REF!),"")</f>
        <v>#REF!</v>
      </c>
      <c r="U27" s="55" t="e">
        <f>IF(AND('Mapa final'!#REF!="Media",'Mapa final'!#REF!="Menor"),CONCATENATE("R2C",'Mapa final'!#REF!),"")</f>
        <v>#REF!</v>
      </c>
      <c r="V27" s="53" t="str">
        <f>IF(AND('Mapa final'!$AD$13="Media",'Mapa final'!$AF$13="Moderado"),CONCATENATE("R2C",'Mapa final'!$S$13),"")</f>
        <v/>
      </c>
      <c r="W27" s="54" t="str">
        <f>IF(AND('Mapa final'!$AD$17="Media",'Mapa final'!$AF$17="Moderado"),CONCATENATE("R2C",'Mapa final'!$S$17),"")</f>
        <v/>
      </c>
      <c r="X27" s="54" t="e">
        <f>IF(AND('Mapa final'!#REF!="Media",'Mapa final'!#REF!="Moderado"),CONCATENATE("R2C",'Mapa final'!#REF!),"")</f>
        <v>#REF!</v>
      </c>
      <c r="Y27" s="54" t="e">
        <f>IF(AND('Mapa final'!#REF!="Media",'Mapa final'!#REF!="Moderado"),CONCATENATE("R2C",'Mapa final'!#REF!),"")</f>
        <v>#REF!</v>
      </c>
      <c r="Z27" s="54" t="e">
        <f>IF(AND('Mapa final'!#REF!="Media",'Mapa final'!#REF!="Moderado"),CONCATENATE("R2C",'Mapa final'!#REF!),"")</f>
        <v>#REF!</v>
      </c>
      <c r="AA27" s="55" t="e">
        <f>IF(AND('Mapa final'!#REF!="Media",'Mapa final'!#REF!="Moderado"),CONCATENATE("R2C",'Mapa final'!#REF!),"")</f>
        <v>#REF!</v>
      </c>
      <c r="AB27" s="38" t="str">
        <f>IF(AND('Mapa final'!$AD$13="Media",'Mapa final'!$AF$13="Mayor"),CONCATENATE("R2C",'Mapa final'!$S$13),"")</f>
        <v/>
      </c>
      <c r="AC27" s="39" t="str">
        <f>IF(AND('Mapa final'!$AD$17="Media",'Mapa final'!$AF$17="Mayor"),CONCATENATE("R2C",'Mapa final'!$S$17),"")</f>
        <v/>
      </c>
      <c r="AD27" s="39" t="e">
        <f>IF(AND('Mapa final'!#REF!="Media",'Mapa final'!#REF!="Mayor"),CONCATENATE("R2C",'Mapa final'!#REF!),"")</f>
        <v>#REF!</v>
      </c>
      <c r="AE27" s="39" t="e">
        <f>IF(AND('Mapa final'!#REF!="Media",'Mapa final'!#REF!="Mayor"),CONCATENATE("R2C",'Mapa final'!#REF!),"")</f>
        <v>#REF!</v>
      </c>
      <c r="AF27" s="39" t="e">
        <f>IF(AND('Mapa final'!#REF!="Media",'Mapa final'!#REF!="Mayor"),CONCATENATE("R2C",'Mapa final'!#REF!),"")</f>
        <v>#REF!</v>
      </c>
      <c r="AG27" s="40" t="e">
        <f>IF(AND('Mapa final'!#REF!="Media",'Mapa final'!#REF!="Mayor"),CONCATENATE("R2C",'Mapa final'!#REF!),"")</f>
        <v>#REF!</v>
      </c>
      <c r="AH27" s="41" t="str">
        <f>IF(AND('Mapa final'!$AD$13="Media",'Mapa final'!$AF$13="Catastrófico"),CONCATENATE("R2C",'Mapa final'!$S$13),"")</f>
        <v/>
      </c>
      <c r="AI27" s="42" t="str">
        <f>IF(AND('Mapa final'!$AD$17="Media",'Mapa final'!$AF$17="Catastrófico"),CONCATENATE("R2C",'Mapa final'!$S$17),"")</f>
        <v/>
      </c>
      <c r="AJ27" s="42" t="e">
        <f>IF(AND('Mapa final'!#REF!="Media",'Mapa final'!#REF!="Catastrófico"),CONCATENATE("R2C",'Mapa final'!#REF!),"")</f>
        <v>#REF!</v>
      </c>
      <c r="AK27" s="42" t="e">
        <f>IF(AND('Mapa final'!#REF!="Media",'Mapa final'!#REF!="Catastrófico"),CONCATENATE("R2C",'Mapa final'!#REF!),"")</f>
        <v>#REF!</v>
      </c>
      <c r="AL27" s="42" t="e">
        <f>IF(AND('Mapa final'!#REF!="Media",'Mapa final'!#REF!="Catastrófico"),CONCATENATE("R2C",'Mapa final'!#REF!),"")</f>
        <v>#REF!</v>
      </c>
      <c r="AM27" s="43" t="e">
        <f>IF(AND('Mapa final'!#REF!="Media",'Mapa final'!#REF!="Catastrófico"),CONCATENATE("R2C",'Mapa final'!#REF!),"")</f>
        <v>#REF!</v>
      </c>
      <c r="AN27" s="69"/>
      <c r="AO27" s="383"/>
      <c r="AP27" s="384"/>
      <c r="AQ27" s="384"/>
      <c r="AR27" s="384"/>
      <c r="AS27" s="384"/>
      <c r="AT27" s="385"/>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row>
    <row r="28" spans="1:76" ht="15" customHeight="1" x14ac:dyDescent="0.25">
      <c r="A28" s="69"/>
      <c r="B28" s="302"/>
      <c r="C28" s="302"/>
      <c r="D28" s="303"/>
      <c r="E28" s="343"/>
      <c r="F28" s="344"/>
      <c r="G28" s="344"/>
      <c r="H28" s="344"/>
      <c r="I28" s="345"/>
      <c r="J28" s="53" t="e">
        <f>IF(AND('Mapa final'!#REF!="Media",'Mapa final'!#REF!="Leve"),CONCATENATE("R3C",'Mapa final'!#REF!),"")</f>
        <v>#REF!</v>
      </c>
      <c r="K28" s="54" t="e">
        <f>IF(AND('Mapa final'!#REF!="Media",'Mapa final'!#REF!="Leve"),CONCATENATE("R3C",'Mapa final'!#REF!),"")</f>
        <v>#REF!</v>
      </c>
      <c r="L28" s="54" t="e">
        <f>IF(AND('Mapa final'!#REF!="Media",'Mapa final'!#REF!="Leve"),CONCATENATE("R3C",'Mapa final'!#REF!),"")</f>
        <v>#REF!</v>
      </c>
      <c r="M28" s="54" t="e">
        <f>IF(AND('Mapa final'!#REF!="Media",'Mapa final'!#REF!="Leve"),CONCATENATE("R3C",'Mapa final'!#REF!),"")</f>
        <v>#REF!</v>
      </c>
      <c r="N28" s="54" t="e">
        <f>IF(AND('Mapa final'!#REF!="Media",'Mapa final'!#REF!="Leve"),CONCATENATE("R3C",'Mapa final'!#REF!),"")</f>
        <v>#REF!</v>
      </c>
      <c r="O28" s="55" t="e">
        <f>IF(AND('Mapa final'!#REF!="Media",'Mapa final'!#REF!="Leve"),CONCATENATE("R3C",'Mapa final'!#REF!),"")</f>
        <v>#REF!</v>
      </c>
      <c r="P28" s="53" t="e">
        <f>IF(AND('Mapa final'!#REF!="Media",'Mapa final'!#REF!="Menor"),CONCATENATE("R3C",'Mapa final'!#REF!),"")</f>
        <v>#REF!</v>
      </c>
      <c r="Q28" s="54" t="e">
        <f>IF(AND('Mapa final'!#REF!="Media",'Mapa final'!#REF!="Menor"),CONCATENATE("R3C",'Mapa final'!#REF!),"")</f>
        <v>#REF!</v>
      </c>
      <c r="R28" s="54" t="e">
        <f>IF(AND('Mapa final'!#REF!="Media",'Mapa final'!#REF!="Menor"),CONCATENATE("R3C",'Mapa final'!#REF!),"")</f>
        <v>#REF!</v>
      </c>
      <c r="S28" s="54" t="e">
        <f>IF(AND('Mapa final'!#REF!="Media",'Mapa final'!#REF!="Menor"),CONCATENATE("R3C",'Mapa final'!#REF!),"")</f>
        <v>#REF!</v>
      </c>
      <c r="T28" s="54" t="e">
        <f>IF(AND('Mapa final'!#REF!="Media",'Mapa final'!#REF!="Menor"),CONCATENATE("R3C",'Mapa final'!#REF!),"")</f>
        <v>#REF!</v>
      </c>
      <c r="U28" s="55" t="e">
        <f>IF(AND('Mapa final'!#REF!="Media",'Mapa final'!#REF!="Menor"),CONCATENATE("R3C",'Mapa final'!#REF!),"")</f>
        <v>#REF!</v>
      </c>
      <c r="V28" s="53" t="e">
        <f>IF(AND('Mapa final'!#REF!="Media",'Mapa final'!#REF!="Moderado"),CONCATENATE("R3C",'Mapa final'!#REF!),"")</f>
        <v>#REF!</v>
      </c>
      <c r="W28" s="54" t="e">
        <f>IF(AND('Mapa final'!#REF!="Media",'Mapa final'!#REF!="Moderado"),CONCATENATE("R3C",'Mapa final'!#REF!),"")</f>
        <v>#REF!</v>
      </c>
      <c r="X28" s="54" t="e">
        <f>IF(AND('Mapa final'!#REF!="Media",'Mapa final'!#REF!="Moderado"),CONCATENATE("R3C",'Mapa final'!#REF!),"")</f>
        <v>#REF!</v>
      </c>
      <c r="Y28" s="54" t="e">
        <f>IF(AND('Mapa final'!#REF!="Media",'Mapa final'!#REF!="Moderado"),CONCATENATE("R3C",'Mapa final'!#REF!),"")</f>
        <v>#REF!</v>
      </c>
      <c r="Z28" s="54" t="e">
        <f>IF(AND('Mapa final'!#REF!="Media",'Mapa final'!#REF!="Moderado"),CONCATENATE("R3C",'Mapa final'!#REF!),"")</f>
        <v>#REF!</v>
      </c>
      <c r="AA28" s="55" t="e">
        <f>IF(AND('Mapa final'!#REF!="Media",'Mapa final'!#REF!="Moderado"),CONCATENATE("R3C",'Mapa final'!#REF!),"")</f>
        <v>#REF!</v>
      </c>
      <c r="AB28" s="38" t="e">
        <f>IF(AND('Mapa final'!#REF!="Media",'Mapa final'!#REF!="Mayor"),CONCATENATE("R3C",'Mapa final'!#REF!),"")</f>
        <v>#REF!</v>
      </c>
      <c r="AC28" s="39" t="e">
        <f>IF(AND('Mapa final'!#REF!="Media",'Mapa final'!#REF!="Mayor"),CONCATENATE("R3C",'Mapa final'!#REF!),"")</f>
        <v>#REF!</v>
      </c>
      <c r="AD28" s="39" t="e">
        <f>IF(AND('Mapa final'!#REF!="Media",'Mapa final'!#REF!="Mayor"),CONCATENATE("R3C",'Mapa final'!#REF!),"")</f>
        <v>#REF!</v>
      </c>
      <c r="AE28" s="39" t="e">
        <f>IF(AND('Mapa final'!#REF!="Media",'Mapa final'!#REF!="Mayor"),CONCATENATE("R3C",'Mapa final'!#REF!),"")</f>
        <v>#REF!</v>
      </c>
      <c r="AF28" s="39" t="e">
        <f>IF(AND('Mapa final'!#REF!="Media",'Mapa final'!#REF!="Mayor"),CONCATENATE("R3C",'Mapa final'!#REF!),"")</f>
        <v>#REF!</v>
      </c>
      <c r="AG28" s="40" t="e">
        <f>IF(AND('Mapa final'!#REF!="Media",'Mapa final'!#REF!="Mayor"),CONCATENATE("R3C",'Mapa final'!#REF!),"")</f>
        <v>#REF!</v>
      </c>
      <c r="AH28" s="41" t="e">
        <f>IF(AND('Mapa final'!#REF!="Media",'Mapa final'!#REF!="Catastrófico"),CONCATENATE("R3C",'Mapa final'!#REF!),"")</f>
        <v>#REF!</v>
      </c>
      <c r="AI28" s="42" t="e">
        <f>IF(AND('Mapa final'!#REF!="Media",'Mapa final'!#REF!="Catastrófico"),CONCATENATE("R3C",'Mapa final'!#REF!),"")</f>
        <v>#REF!</v>
      </c>
      <c r="AJ28" s="42" t="e">
        <f>IF(AND('Mapa final'!#REF!="Media",'Mapa final'!#REF!="Catastrófico"),CONCATENATE("R3C",'Mapa final'!#REF!),"")</f>
        <v>#REF!</v>
      </c>
      <c r="AK28" s="42" t="e">
        <f>IF(AND('Mapa final'!#REF!="Media",'Mapa final'!#REF!="Catastrófico"),CONCATENATE("R3C",'Mapa final'!#REF!),"")</f>
        <v>#REF!</v>
      </c>
      <c r="AL28" s="42" t="e">
        <f>IF(AND('Mapa final'!#REF!="Media",'Mapa final'!#REF!="Catastrófico"),CONCATENATE("R3C",'Mapa final'!#REF!),"")</f>
        <v>#REF!</v>
      </c>
      <c r="AM28" s="43" t="e">
        <f>IF(AND('Mapa final'!#REF!="Media",'Mapa final'!#REF!="Catastrófico"),CONCATENATE("R3C",'Mapa final'!#REF!),"")</f>
        <v>#REF!</v>
      </c>
      <c r="AN28" s="69"/>
      <c r="AO28" s="383"/>
      <c r="AP28" s="384"/>
      <c r="AQ28" s="384"/>
      <c r="AR28" s="384"/>
      <c r="AS28" s="384"/>
      <c r="AT28" s="385"/>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row>
    <row r="29" spans="1:76" ht="15" customHeight="1" x14ac:dyDescent="0.25">
      <c r="A29" s="69"/>
      <c r="B29" s="302"/>
      <c r="C29" s="302"/>
      <c r="D29" s="303"/>
      <c r="E29" s="343"/>
      <c r="F29" s="344"/>
      <c r="G29" s="344"/>
      <c r="H29" s="344"/>
      <c r="I29" s="345"/>
      <c r="J29" s="53" t="e">
        <f>IF(AND('Mapa final'!#REF!="Media",'Mapa final'!#REF!="Leve"),CONCATENATE("R4C",'Mapa final'!#REF!),"")</f>
        <v>#REF!</v>
      </c>
      <c r="K29" s="54" t="e">
        <f>IF(AND('Mapa final'!#REF!="Media",'Mapa final'!#REF!="Leve"),CONCATENATE("R4C",'Mapa final'!#REF!),"")</f>
        <v>#REF!</v>
      </c>
      <c r="L29" s="54" t="e">
        <f>IF(AND('Mapa final'!#REF!="Media",'Mapa final'!#REF!="Leve"),CONCATENATE("R4C",'Mapa final'!#REF!),"")</f>
        <v>#REF!</v>
      </c>
      <c r="M29" s="54" t="e">
        <f>IF(AND('Mapa final'!#REF!="Media",'Mapa final'!#REF!="Leve"),CONCATENATE("R4C",'Mapa final'!#REF!),"")</f>
        <v>#REF!</v>
      </c>
      <c r="N29" s="54" t="e">
        <f>IF(AND('Mapa final'!#REF!="Media",'Mapa final'!#REF!="Leve"),CONCATENATE("R4C",'Mapa final'!#REF!),"")</f>
        <v>#REF!</v>
      </c>
      <c r="O29" s="55" t="e">
        <f>IF(AND('Mapa final'!#REF!="Media",'Mapa final'!#REF!="Leve"),CONCATENATE("R4C",'Mapa final'!#REF!),"")</f>
        <v>#REF!</v>
      </c>
      <c r="P29" s="53" t="e">
        <f>IF(AND('Mapa final'!#REF!="Media",'Mapa final'!#REF!="Menor"),CONCATENATE("R4C",'Mapa final'!#REF!),"")</f>
        <v>#REF!</v>
      </c>
      <c r="Q29" s="54" t="e">
        <f>IF(AND('Mapa final'!#REF!="Media",'Mapa final'!#REF!="Menor"),CONCATENATE("R4C",'Mapa final'!#REF!),"")</f>
        <v>#REF!</v>
      </c>
      <c r="R29" s="54" t="e">
        <f>IF(AND('Mapa final'!#REF!="Media",'Mapa final'!#REF!="Menor"),CONCATENATE("R4C",'Mapa final'!#REF!),"")</f>
        <v>#REF!</v>
      </c>
      <c r="S29" s="54" t="e">
        <f>IF(AND('Mapa final'!#REF!="Media",'Mapa final'!#REF!="Menor"),CONCATENATE("R4C",'Mapa final'!#REF!),"")</f>
        <v>#REF!</v>
      </c>
      <c r="T29" s="54" t="e">
        <f>IF(AND('Mapa final'!#REF!="Media",'Mapa final'!#REF!="Menor"),CONCATENATE("R4C",'Mapa final'!#REF!),"")</f>
        <v>#REF!</v>
      </c>
      <c r="U29" s="55" t="e">
        <f>IF(AND('Mapa final'!#REF!="Media",'Mapa final'!#REF!="Menor"),CONCATENATE("R4C",'Mapa final'!#REF!),"")</f>
        <v>#REF!</v>
      </c>
      <c r="V29" s="53" t="e">
        <f>IF(AND('Mapa final'!#REF!="Media",'Mapa final'!#REF!="Moderado"),CONCATENATE("R4C",'Mapa final'!#REF!),"")</f>
        <v>#REF!</v>
      </c>
      <c r="W29" s="54" t="e">
        <f>IF(AND('Mapa final'!#REF!="Media",'Mapa final'!#REF!="Moderado"),CONCATENATE("R4C",'Mapa final'!#REF!),"")</f>
        <v>#REF!</v>
      </c>
      <c r="X29" s="54" t="e">
        <f>IF(AND('Mapa final'!#REF!="Media",'Mapa final'!#REF!="Moderado"),CONCATENATE("R4C",'Mapa final'!#REF!),"")</f>
        <v>#REF!</v>
      </c>
      <c r="Y29" s="54" t="e">
        <f>IF(AND('Mapa final'!#REF!="Media",'Mapa final'!#REF!="Moderado"),CONCATENATE("R4C",'Mapa final'!#REF!),"")</f>
        <v>#REF!</v>
      </c>
      <c r="Z29" s="54" t="e">
        <f>IF(AND('Mapa final'!#REF!="Media",'Mapa final'!#REF!="Moderado"),CONCATENATE("R4C",'Mapa final'!#REF!),"")</f>
        <v>#REF!</v>
      </c>
      <c r="AA29" s="55" t="e">
        <f>IF(AND('Mapa final'!#REF!="Media",'Mapa final'!#REF!="Moderado"),CONCATENATE("R4C",'Mapa final'!#REF!),"")</f>
        <v>#REF!</v>
      </c>
      <c r="AB29" s="38" t="e">
        <f>IF(AND('Mapa final'!#REF!="Media",'Mapa final'!#REF!="Mayor"),CONCATENATE("R4C",'Mapa final'!#REF!),"")</f>
        <v>#REF!</v>
      </c>
      <c r="AC29" s="39" t="e">
        <f>IF(AND('Mapa final'!#REF!="Media",'Mapa final'!#REF!="Mayor"),CONCATENATE("R4C",'Mapa final'!#REF!),"")</f>
        <v>#REF!</v>
      </c>
      <c r="AD29" s="39" t="e">
        <f>IF(AND('Mapa final'!#REF!="Media",'Mapa final'!#REF!="Mayor"),CONCATENATE("R4C",'Mapa final'!#REF!),"")</f>
        <v>#REF!</v>
      </c>
      <c r="AE29" s="39" t="e">
        <f>IF(AND('Mapa final'!#REF!="Media",'Mapa final'!#REF!="Mayor"),CONCATENATE("R4C",'Mapa final'!#REF!),"")</f>
        <v>#REF!</v>
      </c>
      <c r="AF29" s="39" t="e">
        <f>IF(AND('Mapa final'!#REF!="Media",'Mapa final'!#REF!="Mayor"),CONCATENATE("R4C",'Mapa final'!#REF!),"")</f>
        <v>#REF!</v>
      </c>
      <c r="AG29" s="40" t="e">
        <f>IF(AND('Mapa final'!#REF!="Media",'Mapa final'!#REF!="Mayor"),CONCATENATE("R4C",'Mapa final'!#REF!),"")</f>
        <v>#REF!</v>
      </c>
      <c r="AH29" s="41" t="e">
        <f>IF(AND('Mapa final'!#REF!="Media",'Mapa final'!#REF!="Catastrófico"),CONCATENATE("R4C",'Mapa final'!#REF!),"")</f>
        <v>#REF!</v>
      </c>
      <c r="AI29" s="42" t="e">
        <f>IF(AND('Mapa final'!#REF!="Media",'Mapa final'!#REF!="Catastrófico"),CONCATENATE("R4C",'Mapa final'!#REF!),"")</f>
        <v>#REF!</v>
      </c>
      <c r="AJ29" s="42" t="e">
        <f>IF(AND('Mapa final'!#REF!="Media",'Mapa final'!#REF!="Catastrófico"),CONCATENATE("R4C",'Mapa final'!#REF!),"")</f>
        <v>#REF!</v>
      </c>
      <c r="AK29" s="42" t="e">
        <f>IF(AND('Mapa final'!#REF!="Media",'Mapa final'!#REF!="Catastrófico"),CONCATENATE("R4C",'Mapa final'!#REF!),"")</f>
        <v>#REF!</v>
      </c>
      <c r="AL29" s="42" t="e">
        <f>IF(AND('Mapa final'!#REF!="Media",'Mapa final'!#REF!="Catastrófico"),CONCATENATE("R4C",'Mapa final'!#REF!),"")</f>
        <v>#REF!</v>
      </c>
      <c r="AM29" s="43" t="e">
        <f>IF(AND('Mapa final'!#REF!="Media",'Mapa final'!#REF!="Catastrófico"),CONCATENATE("R4C",'Mapa final'!#REF!),"")</f>
        <v>#REF!</v>
      </c>
      <c r="AN29" s="69"/>
      <c r="AO29" s="383"/>
      <c r="AP29" s="384"/>
      <c r="AQ29" s="384"/>
      <c r="AR29" s="384"/>
      <c r="AS29" s="384"/>
      <c r="AT29" s="385"/>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row>
    <row r="30" spans="1:76" ht="15" customHeight="1" x14ac:dyDescent="0.25">
      <c r="A30" s="69"/>
      <c r="B30" s="302"/>
      <c r="C30" s="302"/>
      <c r="D30" s="303"/>
      <c r="E30" s="343"/>
      <c r="F30" s="344"/>
      <c r="G30" s="344"/>
      <c r="H30" s="344"/>
      <c r="I30" s="345"/>
      <c r="J30" s="53" t="e">
        <f>IF(AND('Mapa final'!#REF!="Media",'Mapa final'!#REF!="Leve"),CONCATENATE("R5C",'Mapa final'!#REF!),"")</f>
        <v>#REF!</v>
      </c>
      <c r="K30" s="54" t="e">
        <f>IF(AND('Mapa final'!#REF!="Media",'Mapa final'!#REF!="Leve"),CONCATENATE("R5C",'Mapa final'!#REF!),"")</f>
        <v>#REF!</v>
      </c>
      <c r="L30" s="54" t="e">
        <f>IF(AND('Mapa final'!#REF!="Media",'Mapa final'!#REF!="Leve"),CONCATENATE("R5C",'Mapa final'!#REF!),"")</f>
        <v>#REF!</v>
      </c>
      <c r="M30" s="54" t="e">
        <f>IF(AND('Mapa final'!#REF!="Media",'Mapa final'!#REF!="Leve"),CONCATENATE("R5C",'Mapa final'!#REF!),"")</f>
        <v>#REF!</v>
      </c>
      <c r="N30" s="54" t="e">
        <f>IF(AND('Mapa final'!#REF!="Media",'Mapa final'!#REF!="Leve"),CONCATENATE("R5C",'Mapa final'!#REF!),"")</f>
        <v>#REF!</v>
      </c>
      <c r="O30" s="55" t="e">
        <f>IF(AND('Mapa final'!#REF!="Media",'Mapa final'!#REF!="Leve"),CONCATENATE("R5C",'Mapa final'!#REF!),"")</f>
        <v>#REF!</v>
      </c>
      <c r="P30" s="53" t="e">
        <f>IF(AND('Mapa final'!#REF!="Media",'Mapa final'!#REF!="Menor"),CONCATENATE("R5C",'Mapa final'!#REF!),"")</f>
        <v>#REF!</v>
      </c>
      <c r="Q30" s="54" t="e">
        <f>IF(AND('Mapa final'!#REF!="Media",'Mapa final'!#REF!="Menor"),CONCATENATE("R5C",'Mapa final'!#REF!),"")</f>
        <v>#REF!</v>
      </c>
      <c r="R30" s="54" t="e">
        <f>IF(AND('Mapa final'!#REF!="Media",'Mapa final'!#REF!="Menor"),CONCATENATE("R5C",'Mapa final'!#REF!),"")</f>
        <v>#REF!</v>
      </c>
      <c r="S30" s="54" t="e">
        <f>IF(AND('Mapa final'!#REF!="Media",'Mapa final'!#REF!="Menor"),CONCATENATE("R5C",'Mapa final'!#REF!),"")</f>
        <v>#REF!</v>
      </c>
      <c r="T30" s="54" t="e">
        <f>IF(AND('Mapa final'!#REF!="Media",'Mapa final'!#REF!="Menor"),CONCATENATE("R5C",'Mapa final'!#REF!),"")</f>
        <v>#REF!</v>
      </c>
      <c r="U30" s="55" t="e">
        <f>IF(AND('Mapa final'!#REF!="Media",'Mapa final'!#REF!="Menor"),CONCATENATE("R5C",'Mapa final'!#REF!),"")</f>
        <v>#REF!</v>
      </c>
      <c r="V30" s="53" t="e">
        <f>IF(AND('Mapa final'!#REF!="Media",'Mapa final'!#REF!="Moderado"),CONCATENATE("R5C",'Mapa final'!#REF!),"")</f>
        <v>#REF!</v>
      </c>
      <c r="W30" s="54" t="e">
        <f>IF(AND('Mapa final'!#REF!="Media",'Mapa final'!#REF!="Moderado"),CONCATENATE("R5C",'Mapa final'!#REF!),"")</f>
        <v>#REF!</v>
      </c>
      <c r="X30" s="54" t="e">
        <f>IF(AND('Mapa final'!#REF!="Media",'Mapa final'!#REF!="Moderado"),CONCATENATE("R5C",'Mapa final'!#REF!),"")</f>
        <v>#REF!</v>
      </c>
      <c r="Y30" s="54" t="e">
        <f>IF(AND('Mapa final'!#REF!="Media",'Mapa final'!#REF!="Moderado"),CONCATENATE("R5C",'Mapa final'!#REF!),"")</f>
        <v>#REF!</v>
      </c>
      <c r="Z30" s="54" t="e">
        <f>IF(AND('Mapa final'!#REF!="Media",'Mapa final'!#REF!="Moderado"),CONCATENATE("R5C",'Mapa final'!#REF!),"")</f>
        <v>#REF!</v>
      </c>
      <c r="AA30" s="55" t="e">
        <f>IF(AND('Mapa final'!#REF!="Media",'Mapa final'!#REF!="Moderado"),CONCATENATE("R5C",'Mapa final'!#REF!),"")</f>
        <v>#REF!</v>
      </c>
      <c r="AB30" s="38" t="e">
        <f>IF(AND('Mapa final'!#REF!="Media",'Mapa final'!#REF!="Mayor"),CONCATENATE("R5C",'Mapa final'!#REF!),"")</f>
        <v>#REF!</v>
      </c>
      <c r="AC30" s="39" t="e">
        <f>IF(AND('Mapa final'!#REF!="Media",'Mapa final'!#REF!="Mayor"),CONCATENATE("R5C",'Mapa final'!#REF!),"")</f>
        <v>#REF!</v>
      </c>
      <c r="AD30" s="39" t="e">
        <f>IF(AND('Mapa final'!#REF!="Media",'Mapa final'!#REF!="Mayor"),CONCATENATE("R5C",'Mapa final'!#REF!),"")</f>
        <v>#REF!</v>
      </c>
      <c r="AE30" s="39" t="e">
        <f>IF(AND('Mapa final'!#REF!="Media",'Mapa final'!#REF!="Mayor"),CONCATENATE("R5C",'Mapa final'!#REF!),"")</f>
        <v>#REF!</v>
      </c>
      <c r="AF30" s="39" t="e">
        <f>IF(AND('Mapa final'!#REF!="Media",'Mapa final'!#REF!="Mayor"),CONCATENATE("R5C",'Mapa final'!#REF!),"")</f>
        <v>#REF!</v>
      </c>
      <c r="AG30" s="40" t="e">
        <f>IF(AND('Mapa final'!#REF!="Media",'Mapa final'!#REF!="Mayor"),CONCATENATE("R5C",'Mapa final'!#REF!),"")</f>
        <v>#REF!</v>
      </c>
      <c r="AH30" s="41" t="e">
        <f>IF(AND('Mapa final'!#REF!="Media",'Mapa final'!#REF!="Catastrófico"),CONCATENATE("R5C",'Mapa final'!#REF!),"")</f>
        <v>#REF!</v>
      </c>
      <c r="AI30" s="42" t="e">
        <f>IF(AND('Mapa final'!#REF!="Media",'Mapa final'!#REF!="Catastrófico"),CONCATENATE("R5C",'Mapa final'!#REF!),"")</f>
        <v>#REF!</v>
      </c>
      <c r="AJ30" s="42" t="e">
        <f>IF(AND('Mapa final'!#REF!="Media",'Mapa final'!#REF!="Catastrófico"),CONCATENATE("R5C",'Mapa final'!#REF!),"")</f>
        <v>#REF!</v>
      </c>
      <c r="AK30" s="42" t="e">
        <f>IF(AND('Mapa final'!#REF!="Media",'Mapa final'!#REF!="Catastrófico"),CONCATENATE("R5C",'Mapa final'!#REF!),"")</f>
        <v>#REF!</v>
      </c>
      <c r="AL30" s="42" t="e">
        <f>IF(AND('Mapa final'!#REF!="Media",'Mapa final'!#REF!="Catastrófico"),CONCATENATE("R5C",'Mapa final'!#REF!),"")</f>
        <v>#REF!</v>
      </c>
      <c r="AM30" s="43" t="e">
        <f>IF(AND('Mapa final'!#REF!="Media",'Mapa final'!#REF!="Catastrófico"),CONCATENATE("R5C",'Mapa final'!#REF!),"")</f>
        <v>#REF!</v>
      </c>
      <c r="AN30" s="69"/>
      <c r="AO30" s="383"/>
      <c r="AP30" s="384"/>
      <c r="AQ30" s="384"/>
      <c r="AR30" s="384"/>
      <c r="AS30" s="384"/>
      <c r="AT30" s="385"/>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row>
    <row r="31" spans="1:76" ht="15" customHeight="1" x14ac:dyDescent="0.25">
      <c r="A31" s="69"/>
      <c r="B31" s="302"/>
      <c r="C31" s="302"/>
      <c r="D31" s="303"/>
      <c r="E31" s="343"/>
      <c r="F31" s="344"/>
      <c r="G31" s="344"/>
      <c r="H31" s="344"/>
      <c r="I31" s="345"/>
      <c r="J31" s="53" t="e">
        <f>IF(AND('Mapa final'!#REF!="Media",'Mapa final'!#REF!="Leve"),CONCATENATE("R6C",'Mapa final'!#REF!),"")</f>
        <v>#REF!</v>
      </c>
      <c r="K31" s="54" t="e">
        <f>IF(AND('Mapa final'!#REF!="Media",'Mapa final'!#REF!="Leve"),CONCATENATE("R6C",'Mapa final'!#REF!),"")</f>
        <v>#REF!</v>
      </c>
      <c r="L31" s="54" t="e">
        <f>IF(AND('Mapa final'!#REF!="Media",'Mapa final'!#REF!="Leve"),CONCATENATE("R6C",'Mapa final'!#REF!),"")</f>
        <v>#REF!</v>
      </c>
      <c r="M31" s="54" t="e">
        <f>IF(AND('Mapa final'!#REF!="Media",'Mapa final'!#REF!="Leve"),CONCATENATE("R6C",'Mapa final'!#REF!),"")</f>
        <v>#REF!</v>
      </c>
      <c r="N31" s="54" t="e">
        <f>IF(AND('Mapa final'!#REF!="Media",'Mapa final'!#REF!="Leve"),CONCATENATE("R6C",'Mapa final'!#REF!),"")</f>
        <v>#REF!</v>
      </c>
      <c r="O31" s="55" t="e">
        <f>IF(AND('Mapa final'!#REF!="Media",'Mapa final'!#REF!="Leve"),CONCATENATE("R6C",'Mapa final'!#REF!),"")</f>
        <v>#REF!</v>
      </c>
      <c r="P31" s="53" t="e">
        <f>IF(AND('Mapa final'!#REF!="Media",'Mapa final'!#REF!="Menor"),CONCATENATE("R6C",'Mapa final'!#REF!),"")</f>
        <v>#REF!</v>
      </c>
      <c r="Q31" s="54" t="e">
        <f>IF(AND('Mapa final'!#REF!="Media",'Mapa final'!#REF!="Menor"),CONCATENATE("R6C",'Mapa final'!#REF!),"")</f>
        <v>#REF!</v>
      </c>
      <c r="R31" s="54" t="e">
        <f>IF(AND('Mapa final'!#REF!="Media",'Mapa final'!#REF!="Menor"),CONCATENATE("R6C",'Mapa final'!#REF!),"")</f>
        <v>#REF!</v>
      </c>
      <c r="S31" s="54" t="e">
        <f>IF(AND('Mapa final'!#REF!="Media",'Mapa final'!#REF!="Menor"),CONCATENATE("R6C",'Mapa final'!#REF!),"")</f>
        <v>#REF!</v>
      </c>
      <c r="T31" s="54" t="e">
        <f>IF(AND('Mapa final'!#REF!="Media",'Mapa final'!#REF!="Menor"),CONCATENATE("R6C",'Mapa final'!#REF!),"")</f>
        <v>#REF!</v>
      </c>
      <c r="U31" s="55" t="e">
        <f>IF(AND('Mapa final'!#REF!="Media",'Mapa final'!#REF!="Menor"),CONCATENATE("R6C",'Mapa final'!#REF!),"")</f>
        <v>#REF!</v>
      </c>
      <c r="V31" s="53" t="e">
        <f>IF(AND('Mapa final'!#REF!="Media",'Mapa final'!#REF!="Moderado"),CONCATENATE("R6C",'Mapa final'!#REF!),"")</f>
        <v>#REF!</v>
      </c>
      <c r="W31" s="54" t="e">
        <f>IF(AND('Mapa final'!#REF!="Media",'Mapa final'!#REF!="Moderado"),CONCATENATE("R6C",'Mapa final'!#REF!),"")</f>
        <v>#REF!</v>
      </c>
      <c r="X31" s="54" t="e">
        <f>IF(AND('Mapa final'!#REF!="Media",'Mapa final'!#REF!="Moderado"),CONCATENATE("R6C",'Mapa final'!#REF!),"")</f>
        <v>#REF!</v>
      </c>
      <c r="Y31" s="54" t="e">
        <f>IF(AND('Mapa final'!#REF!="Media",'Mapa final'!#REF!="Moderado"),CONCATENATE("R6C",'Mapa final'!#REF!),"")</f>
        <v>#REF!</v>
      </c>
      <c r="Z31" s="54" t="e">
        <f>IF(AND('Mapa final'!#REF!="Media",'Mapa final'!#REF!="Moderado"),CONCATENATE("R6C",'Mapa final'!#REF!),"")</f>
        <v>#REF!</v>
      </c>
      <c r="AA31" s="55" t="e">
        <f>IF(AND('Mapa final'!#REF!="Media",'Mapa final'!#REF!="Moderado"),CONCATENATE("R6C",'Mapa final'!#REF!),"")</f>
        <v>#REF!</v>
      </c>
      <c r="AB31" s="38" t="e">
        <f>IF(AND('Mapa final'!#REF!="Media",'Mapa final'!#REF!="Mayor"),CONCATENATE("R6C",'Mapa final'!#REF!),"")</f>
        <v>#REF!</v>
      </c>
      <c r="AC31" s="39" t="e">
        <f>IF(AND('Mapa final'!#REF!="Media",'Mapa final'!#REF!="Mayor"),CONCATENATE("R6C",'Mapa final'!#REF!),"")</f>
        <v>#REF!</v>
      </c>
      <c r="AD31" s="39" t="e">
        <f>IF(AND('Mapa final'!#REF!="Media",'Mapa final'!#REF!="Mayor"),CONCATENATE("R6C",'Mapa final'!#REF!),"")</f>
        <v>#REF!</v>
      </c>
      <c r="AE31" s="39" t="e">
        <f>IF(AND('Mapa final'!#REF!="Media",'Mapa final'!#REF!="Mayor"),CONCATENATE("R6C",'Mapa final'!#REF!),"")</f>
        <v>#REF!</v>
      </c>
      <c r="AF31" s="39" t="e">
        <f>IF(AND('Mapa final'!#REF!="Media",'Mapa final'!#REF!="Mayor"),CONCATENATE("R6C",'Mapa final'!#REF!),"")</f>
        <v>#REF!</v>
      </c>
      <c r="AG31" s="40" t="e">
        <f>IF(AND('Mapa final'!#REF!="Media",'Mapa final'!#REF!="Mayor"),CONCATENATE("R6C",'Mapa final'!#REF!),"")</f>
        <v>#REF!</v>
      </c>
      <c r="AH31" s="41" t="e">
        <f>IF(AND('Mapa final'!#REF!="Media",'Mapa final'!#REF!="Catastrófico"),CONCATENATE("R6C",'Mapa final'!#REF!),"")</f>
        <v>#REF!</v>
      </c>
      <c r="AI31" s="42" t="e">
        <f>IF(AND('Mapa final'!#REF!="Media",'Mapa final'!#REF!="Catastrófico"),CONCATENATE("R6C",'Mapa final'!#REF!),"")</f>
        <v>#REF!</v>
      </c>
      <c r="AJ31" s="42" t="e">
        <f>IF(AND('Mapa final'!#REF!="Media",'Mapa final'!#REF!="Catastrófico"),CONCATENATE("R6C",'Mapa final'!#REF!),"")</f>
        <v>#REF!</v>
      </c>
      <c r="AK31" s="42" t="e">
        <f>IF(AND('Mapa final'!#REF!="Media",'Mapa final'!#REF!="Catastrófico"),CONCATENATE("R6C",'Mapa final'!#REF!),"")</f>
        <v>#REF!</v>
      </c>
      <c r="AL31" s="42" t="e">
        <f>IF(AND('Mapa final'!#REF!="Media",'Mapa final'!#REF!="Catastrófico"),CONCATENATE("R6C",'Mapa final'!#REF!),"")</f>
        <v>#REF!</v>
      </c>
      <c r="AM31" s="43" t="e">
        <f>IF(AND('Mapa final'!#REF!="Media",'Mapa final'!#REF!="Catastrófico"),CONCATENATE("R6C",'Mapa final'!#REF!),"")</f>
        <v>#REF!</v>
      </c>
      <c r="AN31" s="69"/>
      <c r="AO31" s="383"/>
      <c r="AP31" s="384"/>
      <c r="AQ31" s="384"/>
      <c r="AR31" s="384"/>
      <c r="AS31" s="384"/>
      <c r="AT31" s="385"/>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row>
    <row r="32" spans="1:76" ht="15" customHeight="1" x14ac:dyDescent="0.25">
      <c r="A32" s="69"/>
      <c r="B32" s="302"/>
      <c r="C32" s="302"/>
      <c r="D32" s="303"/>
      <c r="E32" s="343"/>
      <c r="F32" s="344"/>
      <c r="G32" s="344"/>
      <c r="H32" s="344"/>
      <c r="I32" s="345"/>
      <c r="J32" s="53" t="e">
        <f>IF(AND('Mapa final'!#REF!="Media",'Mapa final'!#REF!="Leve"),CONCATENATE("R7C",'Mapa final'!#REF!),"")</f>
        <v>#REF!</v>
      </c>
      <c r="K32" s="54" t="e">
        <f>IF(AND('Mapa final'!#REF!="Media",'Mapa final'!#REF!="Leve"),CONCATENATE("R7C",'Mapa final'!#REF!),"")</f>
        <v>#REF!</v>
      </c>
      <c r="L32" s="54" t="e">
        <f>IF(AND('Mapa final'!#REF!="Media",'Mapa final'!#REF!="Leve"),CONCATENATE("R7C",'Mapa final'!#REF!),"")</f>
        <v>#REF!</v>
      </c>
      <c r="M32" s="54" t="e">
        <f>IF(AND('Mapa final'!#REF!="Media",'Mapa final'!#REF!="Leve"),CONCATENATE("R7C",'Mapa final'!#REF!),"")</f>
        <v>#REF!</v>
      </c>
      <c r="N32" s="54" t="e">
        <f>IF(AND('Mapa final'!#REF!="Media",'Mapa final'!#REF!="Leve"),CONCATENATE("R7C",'Mapa final'!#REF!),"")</f>
        <v>#REF!</v>
      </c>
      <c r="O32" s="55" t="e">
        <f>IF(AND('Mapa final'!#REF!="Media",'Mapa final'!#REF!="Leve"),CONCATENATE("R7C",'Mapa final'!#REF!),"")</f>
        <v>#REF!</v>
      </c>
      <c r="P32" s="53" t="e">
        <f>IF(AND('Mapa final'!#REF!="Media",'Mapa final'!#REF!="Menor"),CONCATENATE("R7C",'Mapa final'!#REF!),"")</f>
        <v>#REF!</v>
      </c>
      <c r="Q32" s="54" t="e">
        <f>IF(AND('Mapa final'!#REF!="Media",'Mapa final'!#REF!="Menor"),CONCATENATE("R7C",'Mapa final'!#REF!),"")</f>
        <v>#REF!</v>
      </c>
      <c r="R32" s="54" t="e">
        <f>IF(AND('Mapa final'!#REF!="Media",'Mapa final'!#REF!="Menor"),CONCATENATE("R7C",'Mapa final'!#REF!),"")</f>
        <v>#REF!</v>
      </c>
      <c r="S32" s="54" t="e">
        <f>IF(AND('Mapa final'!#REF!="Media",'Mapa final'!#REF!="Menor"),CONCATENATE("R7C",'Mapa final'!#REF!),"")</f>
        <v>#REF!</v>
      </c>
      <c r="T32" s="54" t="e">
        <f>IF(AND('Mapa final'!#REF!="Media",'Mapa final'!#REF!="Menor"),CONCATENATE("R7C",'Mapa final'!#REF!),"")</f>
        <v>#REF!</v>
      </c>
      <c r="U32" s="55" t="e">
        <f>IF(AND('Mapa final'!#REF!="Media",'Mapa final'!#REF!="Menor"),CONCATENATE("R7C",'Mapa final'!#REF!),"")</f>
        <v>#REF!</v>
      </c>
      <c r="V32" s="53" t="e">
        <f>IF(AND('Mapa final'!#REF!="Media",'Mapa final'!#REF!="Moderado"),CONCATENATE("R7C",'Mapa final'!#REF!),"")</f>
        <v>#REF!</v>
      </c>
      <c r="W32" s="54" t="e">
        <f>IF(AND('Mapa final'!#REF!="Media",'Mapa final'!#REF!="Moderado"),CONCATENATE("R7C",'Mapa final'!#REF!),"")</f>
        <v>#REF!</v>
      </c>
      <c r="X32" s="54" t="e">
        <f>IF(AND('Mapa final'!#REF!="Media",'Mapa final'!#REF!="Moderado"),CONCATENATE("R7C",'Mapa final'!#REF!),"")</f>
        <v>#REF!</v>
      </c>
      <c r="Y32" s="54" t="e">
        <f>IF(AND('Mapa final'!#REF!="Media",'Mapa final'!#REF!="Moderado"),CONCATENATE("R7C",'Mapa final'!#REF!),"")</f>
        <v>#REF!</v>
      </c>
      <c r="Z32" s="54" t="e">
        <f>IF(AND('Mapa final'!#REF!="Media",'Mapa final'!#REF!="Moderado"),CONCATENATE("R7C",'Mapa final'!#REF!),"")</f>
        <v>#REF!</v>
      </c>
      <c r="AA32" s="55" t="e">
        <f>IF(AND('Mapa final'!#REF!="Media",'Mapa final'!#REF!="Moderado"),CONCATENATE("R7C",'Mapa final'!#REF!),"")</f>
        <v>#REF!</v>
      </c>
      <c r="AB32" s="38" t="e">
        <f>IF(AND('Mapa final'!#REF!="Media",'Mapa final'!#REF!="Mayor"),CONCATENATE("R7C",'Mapa final'!#REF!),"")</f>
        <v>#REF!</v>
      </c>
      <c r="AC32" s="39" t="e">
        <f>IF(AND('Mapa final'!#REF!="Media",'Mapa final'!#REF!="Mayor"),CONCATENATE("R7C",'Mapa final'!#REF!),"")</f>
        <v>#REF!</v>
      </c>
      <c r="AD32" s="39" t="e">
        <f>IF(AND('Mapa final'!#REF!="Media",'Mapa final'!#REF!="Mayor"),CONCATENATE("R7C",'Mapa final'!#REF!),"")</f>
        <v>#REF!</v>
      </c>
      <c r="AE32" s="39" t="e">
        <f>IF(AND('Mapa final'!#REF!="Media",'Mapa final'!#REF!="Mayor"),CONCATENATE("R7C",'Mapa final'!#REF!),"")</f>
        <v>#REF!</v>
      </c>
      <c r="AF32" s="39" t="e">
        <f>IF(AND('Mapa final'!#REF!="Media",'Mapa final'!#REF!="Mayor"),CONCATENATE("R7C",'Mapa final'!#REF!),"")</f>
        <v>#REF!</v>
      </c>
      <c r="AG32" s="40" t="e">
        <f>IF(AND('Mapa final'!#REF!="Media",'Mapa final'!#REF!="Mayor"),CONCATENATE("R7C",'Mapa final'!#REF!),"")</f>
        <v>#REF!</v>
      </c>
      <c r="AH32" s="41" t="e">
        <f>IF(AND('Mapa final'!#REF!="Media",'Mapa final'!#REF!="Catastrófico"),CONCATENATE("R7C",'Mapa final'!#REF!),"")</f>
        <v>#REF!</v>
      </c>
      <c r="AI32" s="42" t="e">
        <f>IF(AND('Mapa final'!#REF!="Media",'Mapa final'!#REF!="Catastrófico"),CONCATENATE("R7C",'Mapa final'!#REF!),"")</f>
        <v>#REF!</v>
      </c>
      <c r="AJ32" s="42" t="e">
        <f>IF(AND('Mapa final'!#REF!="Media",'Mapa final'!#REF!="Catastrófico"),CONCATENATE("R7C",'Mapa final'!#REF!),"")</f>
        <v>#REF!</v>
      </c>
      <c r="AK32" s="42" t="e">
        <f>IF(AND('Mapa final'!#REF!="Media",'Mapa final'!#REF!="Catastrófico"),CONCATENATE("R7C",'Mapa final'!#REF!),"")</f>
        <v>#REF!</v>
      </c>
      <c r="AL32" s="42" t="e">
        <f>IF(AND('Mapa final'!#REF!="Media",'Mapa final'!#REF!="Catastrófico"),CONCATENATE("R7C",'Mapa final'!#REF!),"")</f>
        <v>#REF!</v>
      </c>
      <c r="AM32" s="43" t="e">
        <f>IF(AND('Mapa final'!#REF!="Media",'Mapa final'!#REF!="Catastrófico"),CONCATENATE("R7C",'Mapa final'!#REF!),"")</f>
        <v>#REF!</v>
      </c>
      <c r="AN32" s="69"/>
      <c r="AO32" s="383"/>
      <c r="AP32" s="384"/>
      <c r="AQ32" s="384"/>
      <c r="AR32" s="384"/>
      <c r="AS32" s="384"/>
      <c r="AT32" s="385"/>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row>
    <row r="33" spans="1:80" ht="15" customHeight="1" x14ac:dyDescent="0.25">
      <c r="A33" s="69"/>
      <c r="B33" s="302"/>
      <c r="C33" s="302"/>
      <c r="D33" s="303"/>
      <c r="E33" s="343"/>
      <c r="F33" s="344"/>
      <c r="G33" s="344"/>
      <c r="H33" s="344"/>
      <c r="I33" s="345"/>
      <c r="J33" s="53" t="e">
        <f>IF(AND('Mapa final'!#REF!="Media",'Mapa final'!#REF!="Leve"),CONCATENATE("R8C",'Mapa final'!#REF!),"")</f>
        <v>#REF!</v>
      </c>
      <c r="K33" s="54" t="e">
        <f>IF(AND('Mapa final'!#REF!="Media",'Mapa final'!#REF!="Leve"),CONCATENATE("R8C",'Mapa final'!#REF!),"")</f>
        <v>#REF!</v>
      </c>
      <c r="L33" s="54" t="e">
        <f>IF(AND('Mapa final'!#REF!="Media",'Mapa final'!#REF!="Leve"),CONCATENATE("R8C",'Mapa final'!#REF!),"")</f>
        <v>#REF!</v>
      </c>
      <c r="M33" s="54" t="e">
        <f>IF(AND('Mapa final'!#REF!="Media",'Mapa final'!#REF!="Leve"),CONCATENATE("R8C",'Mapa final'!#REF!),"")</f>
        <v>#REF!</v>
      </c>
      <c r="N33" s="54" t="e">
        <f>IF(AND('Mapa final'!#REF!="Media",'Mapa final'!#REF!="Leve"),CONCATENATE("R8C",'Mapa final'!#REF!),"")</f>
        <v>#REF!</v>
      </c>
      <c r="O33" s="55" t="e">
        <f>IF(AND('Mapa final'!#REF!="Media",'Mapa final'!#REF!="Leve"),CONCATENATE("R8C",'Mapa final'!#REF!),"")</f>
        <v>#REF!</v>
      </c>
      <c r="P33" s="53" t="e">
        <f>IF(AND('Mapa final'!#REF!="Media",'Mapa final'!#REF!="Menor"),CONCATENATE("R8C",'Mapa final'!#REF!),"")</f>
        <v>#REF!</v>
      </c>
      <c r="Q33" s="54" t="e">
        <f>IF(AND('Mapa final'!#REF!="Media",'Mapa final'!#REF!="Menor"),CONCATENATE("R8C",'Mapa final'!#REF!),"")</f>
        <v>#REF!</v>
      </c>
      <c r="R33" s="54" t="e">
        <f>IF(AND('Mapa final'!#REF!="Media",'Mapa final'!#REF!="Menor"),CONCATENATE("R8C",'Mapa final'!#REF!),"")</f>
        <v>#REF!</v>
      </c>
      <c r="S33" s="54" t="e">
        <f>IF(AND('Mapa final'!#REF!="Media",'Mapa final'!#REF!="Menor"),CONCATENATE("R8C",'Mapa final'!#REF!),"")</f>
        <v>#REF!</v>
      </c>
      <c r="T33" s="54" t="e">
        <f>IF(AND('Mapa final'!#REF!="Media",'Mapa final'!#REF!="Menor"),CONCATENATE("R8C",'Mapa final'!#REF!),"")</f>
        <v>#REF!</v>
      </c>
      <c r="U33" s="55" t="e">
        <f>IF(AND('Mapa final'!#REF!="Media",'Mapa final'!#REF!="Menor"),CONCATENATE("R8C",'Mapa final'!#REF!),"")</f>
        <v>#REF!</v>
      </c>
      <c r="V33" s="53" t="e">
        <f>IF(AND('Mapa final'!#REF!="Media",'Mapa final'!#REF!="Moderado"),CONCATENATE("R8C",'Mapa final'!#REF!),"")</f>
        <v>#REF!</v>
      </c>
      <c r="W33" s="54" t="e">
        <f>IF(AND('Mapa final'!#REF!="Media",'Mapa final'!#REF!="Moderado"),CONCATENATE("R8C",'Mapa final'!#REF!),"")</f>
        <v>#REF!</v>
      </c>
      <c r="X33" s="54" t="e">
        <f>IF(AND('Mapa final'!#REF!="Media",'Mapa final'!#REF!="Moderado"),CONCATENATE("R8C",'Mapa final'!#REF!),"")</f>
        <v>#REF!</v>
      </c>
      <c r="Y33" s="54" t="e">
        <f>IF(AND('Mapa final'!#REF!="Media",'Mapa final'!#REF!="Moderado"),CONCATENATE("R8C",'Mapa final'!#REF!),"")</f>
        <v>#REF!</v>
      </c>
      <c r="Z33" s="54" t="e">
        <f>IF(AND('Mapa final'!#REF!="Media",'Mapa final'!#REF!="Moderado"),CONCATENATE("R8C",'Mapa final'!#REF!),"")</f>
        <v>#REF!</v>
      </c>
      <c r="AA33" s="55" t="e">
        <f>IF(AND('Mapa final'!#REF!="Media",'Mapa final'!#REF!="Moderado"),CONCATENATE("R8C",'Mapa final'!#REF!),"")</f>
        <v>#REF!</v>
      </c>
      <c r="AB33" s="38" t="e">
        <f>IF(AND('Mapa final'!#REF!="Media",'Mapa final'!#REF!="Mayor"),CONCATENATE("R8C",'Mapa final'!#REF!),"")</f>
        <v>#REF!</v>
      </c>
      <c r="AC33" s="39" t="e">
        <f>IF(AND('Mapa final'!#REF!="Media",'Mapa final'!#REF!="Mayor"),CONCATENATE("R8C",'Mapa final'!#REF!),"")</f>
        <v>#REF!</v>
      </c>
      <c r="AD33" s="39" t="e">
        <f>IF(AND('Mapa final'!#REF!="Media",'Mapa final'!#REF!="Mayor"),CONCATENATE("R8C",'Mapa final'!#REF!),"")</f>
        <v>#REF!</v>
      </c>
      <c r="AE33" s="39" t="e">
        <f>IF(AND('Mapa final'!#REF!="Media",'Mapa final'!#REF!="Mayor"),CONCATENATE("R8C",'Mapa final'!#REF!),"")</f>
        <v>#REF!</v>
      </c>
      <c r="AF33" s="39" t="e">
        <f>IF(AND('Mapa final'!#REF!="Media",'Mapa final'!#REF!="Mayor"),CONCATENATE("R8C",'Mapa final'!#REF!),"")</f>
        <v>#REF!</v>
      </c>
      <c r="AG33" s="40" t="e">
        <f>IF(AND('Mapa final'!#REF!="Media",'Mapa final'!#REF!="Mayor"),CONCATENATE("R8C",'Mapa final'!#REF!),"")</f>
        <v>#REF!</v>
      </c>
      <c r="AH33" s="41" t="e">
        <f>IF(AND('Mapa final'!#REF!="Media",'Mapa final'!#REF!="Catastrófico"),CONCATENATE("R8C",'Mapa final'!#REF!),"")</f>
        <v>#REF!</v>
      </c>
      <c r="AI33" s="42" t="e">
        <f>IF(AND('Mapa final'!#REF!="Media",'Mapa final'!#REF!="Catastrófico"),CONCATENATE("R8C",'Mapa final'!#REF!),"")</f>
        <v>#REF!</v>
      </c>
      <c r="AJ33" s="42" t="e">
        <f>IF(AND('Mapa final'!#REF!="Media",'Mapa final'!#REF!="Catastrófico"),CONCATENATE("R8C",'Mapa final'!#REF!),"")</f>
        <v>#REF!</v>
      </c>
      <c r="AK33" s="42" t="e">
        <f>IF(AND('Mapa final'!#REF!="Media",'Mapa final'!#REF!="Catastrófico"),CONCATENATE("R8C",'Mapa final'!#REF!),"")</f>
        <v>#REF!</v>
      </c>
      <c r="AL33" s="42" t="e">
        <f>IF(AND('Mapa final'!#REF!="Media",'Mapa final'!#REF!="Catastrófico"),CONCATENATE("R8C",'Mapa final'!#REF!),"")</f>
        <v>#REF!</v>
      </c>
      <c r="AM33" s="43" t="e">
        <f>IF(AND('Mapa final'!#REF!="Media",'Mapa final'!#REF!="Catastrófico"),CONCATENATE("R8C",'Mapa final'!#REF!),"")</f>
        <v>#REF!</v>
      </c>
      <c r="AN33" s="69"/>
      <c r="AO33" s="383"/>
      <c r="AP33" s="384"/>
      <c r="AQ33" s="384"/>
      <c r="AR33" s="384"/>
      <c r="AS33" s="384"/>
      <c r="AT33" s="385"/>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row>
    <row r="34" spans="1:80" ht="15" customHeight="1" x14ac:dyDescent="0.25">
      <c r="A34" s="69"/>
      <c r="B34" s="302"/>
      <c r="C34" s="302"/>
      <c r="D34" s="303"/>
      <c r="E34" s="343"/>
      <c r="F34" s="344"/>
      <c r="G34" s="344"/>
      <c r="H34" s="344"/>
      <c r="I34" s="345"/>
      <c r="J34" s="53" t="e">
        <f>IF(AND('Mapa final'!#REF!="Media",'Mapa final'!#REF!="Leve"),CONCATENATE("R9C",'Mapa final'!#REF!),"")</f>
        <v>#REF!</v>
      </c>
      <c r="K34" s="54" t="e">
        <f>IF(AND('Mapa final'!#REF!="Media",'Mapa final'!#REF!="Leve"),CONCATENATE("R9C",'Mapa final'!#REF!),"")</f>
        <v>#REF!</v>
      </c>
      <c r="L34" s="54" t="e">
        <f>IF(AND('Mapa final'!#REF!="Media",'Mapa final'!#REF!="Leve"),CONCATENATE("R9C",'Mapa final'!#REF!),"")</f>
        <v>#REF!</v>
      </c>
      <c r="M34" s="54" t="e">
        <f>IF(AND('Mapa final'!#REF!="Media",'Mapa final'!#REF!="Leve"),CONCATENATE("R9C",'Mapa final'!#REF!),"")</f>
        <v>#REF!</v>
      </c>
      <c r="N34" s="54" t="e">
        <f>IF(AND('Mapa final'!#REF!="Media",'Mapa final'!#REF!="Leve"),CONCATENATE("R9C",'Mapa final'!#REF!),"")</f>
        <v>#REF!</v>
      </c>
      <c r="O34" s="55" t="e">
        <f>IF(AND('Mapa final'!#REF!="Media",'Mapa final'!#REF!="Leve"),CONCATENATE("R9C",'Mapa final'!#REF!),"")</f>
        <v>#REF!</v>
      </c>
      <c r="P34" s="53" t="e">
        <f>IF(AND('Mapa final'!#REF!="Media",'Mapa final'!#REF!="Menor"),CONCATENATE("R9C",'Mapa final'!#REF!),"")</f>
        <v>#REF!</v>
      </c>
      <c r="Q34" s="54" t="e">
        <f>IF(AND('Mapa final'!#REF!="Media",'Mapa final'!#REF!="Menor"),CONCATENATE("R9C",'Mapa final'!#REF!),"")</f>
        <v>#REF!</v>
      </c>
      <c r="R34" s="54" t="e">
        <f>IF(AND('Mapa final'!#REF!="Media",'Mapa final'!#REF!="Menor"),CONCATENATE("R9C",'Mapa final'!#REF!),"")</f>
        <v>#REF!</v>
      </c>
      <c r="S34" s="54" t="e">
        <f>IF(AND('Mapa final'!#REF!="Media",'Mapa final'!#REF!="Menor"),CONCATENATE("R9C",'Mapa final'!#REF!),"")</f>
        <v>#REF!</v>
      </c>
      <c r="T34" s="54" t="e">
        <f>IF(AND('Mapa final'!#REF!="Media",'Mapa final'!#REF!="Menor"),CONCATENATE("R9C",'Mapa final'!#REF!),"")</f>
        <v>#REF!</v>
      </c>
      <c r="U34" s="55" t="e">
        <f>IF(AND('Mapa final'!#REF!="Media",'Mapa final'!#REF!="Menor"),CONCATENATE("R9C",'Mapa final'!#REF!),"")</f>
        <v>#REF!</v>
      </c>
      <c r="V34" s="53" t="e">
        <f>IF(AND('Mapa final'!#REF!="Media",'Mapa final'!#REF!="Moderado"),CONCATENATE("R9C",'Mapa final'!#REF!),"")</f>
        <v>#REF!</v>
      </c>
      <c r="W34" s="54" t="e">
        <f>IF(AND('Mapa final'!#REF!="Media",'Mapa final'!#REF!="Moderado"),CONCATENATE("R9C",'Mapa final'!#REF!),"")</f>
        <v>#REF!</v>
      </c>
      <c r="X34" s="54" t="e">
        <f>IF(AND('Mapa final'!#REF!="Media",'Mapa final'!#REF!="Moderado"),CONCATENATE("R9C",'Mapa final'!#REF!),"")</f>
        <v>#REF!</v>
      </c>
      <c r="Y34" s="54" t="e">
        <f>IF(AND('Mapa final'!#REF!="Media",'Mapa final'!#REF!="Moderado"),CONCATENATE("R9C",'Mapa final'!#REF!),"")</f>
        <v>#REF!</v>
      </c>
      <c r="Z34" s="54" t="e">
        <f>IF(AND('Mapa final'!#REF!="Media",'Mapa final'!#REF!="Moderado"),CONCATENATE("R9C",'Mapa final'!#REF!),"")</f>
        <v>#REF!</v>
      </c>
      <c r="AA34" s="55" t="e">
        <f>IF(AND('Mapa final'!#REF!="Media",'Mapa final'!#REF!="Moderado"),CONCATENATE("R9C",'Mapa final'!#REF!),"")</f>
        <v>#REF!</v>
      </c>
      <c r="AB34" s="38" t="e">
        <f>IF(AND('Mapa final'!#REF!="Media",'Mapa final'!#REF!="Mayor"),CONCATENATE("R9C",'Mapa final'!#REF!),"")</f>
        <v>#REF!</v>
      </c>
      <c r="AC34" s="39" t="e">
        <f>IF(AND('Mapa final'!#REF!="Media",'Mapa final'!#REF!="Mayor"),CONCATENATE("R9C",'Mapa final'!#REF!),"")</f>
        <v>#REF!</v>
      </c>
      <c r="AD34" s="39" t="e">
        <f>IF(AND('Mapa final'!#REF!="Media",'Mapa final'!#REF!="Mayor"),CONCATENATE("R9C",'Mapa final'!#REF!),"")</f>
        <v>#REF!</v>
      </c>
      <c r="AE34" s="39" t="e">
        <f>IF(AND('Mapa final'!#REF!="Media",'Mapa final'!#REF!="Mayor"),CONCATENATE("R9C",'Mapa final'!#REF!),"")</f>
        <v>#REF!</v>
      </c>
      <c r="AF34" s="39" t="e">
        <f>IF(AND('Mapa final'!#REF!="Media",'Mapa final'!#REF!="Mayor"),CONCATENATE("R9C",'Mapa final'!#REF!),"")</f>
        <v>#REF!</v>
      </c>
      <c r="AG34" s="40" t="e">
        <f>IF(AND('Mapa final'!#REF!="Media",'Mapa final'!#REF!="Mayor"),CONCATENATE("R9C",'Mapa final'!#REF!),"")</f>
        <v>#REF!</v>
      </c>
      <c r="AH34" s="41" t="e">
        <f>IF(AND('Mapa final'!#REF!="Media",'Mapa final'!#REF!="Catastrófico"),CONCATENATE("R9C",'Mapa final'!#REF!),"")</f>
        <v>#REF!</v>
      </c>
      <c r="AI34" s="42" t="e">
        <f>IF(AND('Mapa final'!#REF!="Media",'Mapa final'!#REF!="Catastrófico"),CONCATENATE("R9C",'Mapa final'!#REF!),"")</f>
        <v>#REF!</v>
      </c>
      <c r="AJ34" s="42" t="e">
        <f>IF(AND('Mapa final'!#REF!="Media",'Mapa final'!#REF!="Catastrófico"),CONCATENATE("R9C",'Mapa final'!#REF!),"")</f>
        <v>#REF!</v>
      </c>
      <c r="AK34" s="42" t="e">
        <f>IF(AND('Mapa final'!#REF!="Media",'Mapa final'!#REF!="Catastrófico"),CONCATENATE("R9C",'Mapa final'!#REF!),"")</f>
        <v>#REF!</v>
      </c>
      <c r="AL34" s="42" t="e">
        <f>IF(AND('Mapa final'!#REF!="Media",'Mapa final'!#REF!="Catastrófico"),CONCATENATE("R9C",'Mapa final'!#REF!),"")</f>
        <v>#REF!</v>
      </c>
      <c r="AM34" s="43" t="e">
        <f>IF(AND('Mapa final'!#REF!="Media",'Mapa final'!#REF!="Catastrófico"),CONCATENATE("R9C",'Mapa final'!#REF!),"")</f>
        <v>#REF!</v>
      </c>
      <c r="AN34" s="69"/>
      <c r="AO34" s="383"/>
      <c r="AP34" s="384"/>
      <c r="AQ34" s="384"/>
      <c r="AR34" s="384"/>
      <c r="AS34" s="384"/>
      <c r="AT34" s="385"/>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row>
    <row r="35" spans="1:80" ht="15.75" customHeight="1" thickBot="1" x14ac:dyDescent="0.3">
      <c r="A35" s="69"/>
      <c r="B35" s="302"/>
      <c r="C35" s="302"/>
      <c r="D35" s="303"/>
      <c r="E35" s="346"/>
      <c r="F35" s="347"/>
      <c r="G35" s="347"/>
      <c r="H35" s="347"/>
      <c r="I35" s="348"/>
      <c r="J35" s="53" t="e">
        <f>IF(AND('Mapa final'!#REF!="Media",'Mapa final'!#REF!="Leve"),CONCATENATE("R10C",'Mapa final'!#REF!),"")</f>
        <v>#REF!</v>
      </c>
      <c r="K35" s="54" t="e">
        <f>IF(AND('Mapa final'!#REF!="Media",'Mapa final'!#REF!="Leve"),CONCATENATE("R10C",'Mapa final'!#REF!),"")</f>
        <v>#REF!</v>
      </c>
      <c r="L35" s="54" t="e">
        <f>IF(AND('Mapa final'!#REF!="Media",'Mapa final'!#REF!="Leve"),CONCATENATE("R10C",'Mapa final'!#REF!),"")</f>
        <v>#REF!</v>
      </c>
      <c r="M35" s="54" t="e">
        <f>IF(AND('Mapa final'!#REF!="Media",'Mapa final'!#REF!="Leve"),CONCATENATE("R10C",'Mapa final'!#REF!),"")</f>
        <v>#REF!</v>
      </c>
      <c r="N35" s="54" t="e">
        <f>IF(AND('Mapa final'!#REF!="Media",'Mapa final'!#REF!="Leve"),CONCATENATE("R10C",'Mapa final'!#REF!),"")</f>
        <v>#REF!</v>
      </c>
      <c r="O35" s="55" t="e">
        <f>IF(AND('Mapa final'!#REF!="Media",'Mapa final'!#REF!="Leve"),CONCATENATE("R10C",'Mapa final'!#REF!),"")</f>
        <v>#REF!</v>
      </c>
      <c r="P35" s="53" t="e">
        <f>IF(AND('Mapa final'!#REF!="Media",'Mapa final'!#REF!="Menor"),CONCATENATE("R10C",'Mapa final'!#REF!),"")</f>
        <v>#REF!</v>
      </c>
      <c r="Q35" s="54" t="e">
        <f>IF(AND('Mapa final'!#REF!="Media",'Mapa final'!#REF!="Menor"),CONCATENATE("R10C",'Mapa final'!#REF!),"")</f>
        <v>#REF!</v>
      </c>
      <c r="R35" s="54" t="e">
        <f>IF(AND('Mapa final'!#REF!="Media",'Mapa final'!#REF!="Menor"),CONCATENATE("R10C",'Mapa final'!#REF!),"")</f>
        <v>#REF!</v>
      </c>
      <c r="S35" s="54" t="e">
        <f>IF(AND('Mapa final'!#REF!="Media",'Mapa final'!#REF!="Menor"),CONCATENATE("R10C",'Mapa final'!#REF!),"")</f>
        <v>#REF!</v>
      </c>
      <c r="T35" s="54" t="e">
        <f>IF(AND('Mapa final'!#REF!="Media",'Mapa final'!#REF!="Menor"),CONCATENATE("R10C",'Mapa final'!#REF!),"")</f>
        <v>#REF!</v>
      </c>
      <c r="U35" s="55" t="e">
        <f>IF(AND('Mapa final'!#REF!="Media",'Mapa final'!#REF!="Menor"),CONCATENATE("R10C",'Mapa final'!#REF!),"")</f>
        <v>#REF!</v>
      </c>
      <c r="V35" s="53" t="e">
        <f>IF(AND('Mapa final'!#REF!="Media",'Mapa final'!#REF!="Moderado"),CONCATENATE("R10C",'Mapa final'!#REF!),"")</f>
        <v>#REF!</v>
      </c>
      <c r="W35" s="54" t="e">
        <f>IF(AND('Mapa final'!#REF!="Media",'Mapa final'!#REF!="Moderado"),CONCATENATE("R10C",'Mapa final'!#REF!),"")</f>
        <v>#REF!</v>
      </c>
      <c r="X35" s="54" t="e">
        <f>IF(AND('Mapa final'!#REF!="Media",'Mapa final'!#REF!="Moderado"),CONCATENATE("R10C",'Mapa final'!#REF!),"")</f>
        <v>#REF!</v>
      </c>
      <c r="Y35" s="54" t="e">
        <f>IF(AND('Mapa final'!#REF!="Media",'Mapa final'!#REF!="Moderado"),CONCATENATE("R10C",'Mapa final'!#REF!),"")</f>
        <v>#REF!</v>
      </c>
      <c r="Z35" s="54" t="e">
        <f>IF(AND('Mapa final'!#REF!="Media",'Mapa final'!#REF!="Moderado"),CONCATENATE("R10C",'Mapa final'!#REF!),"")</f>
        <v>#REF!</v>
      </c>
      <c r="AA35" s="55" t="e">
        <f>IF(AND('Mapa final'!#REF!="Media",'Mapa final'!#REF!="Moderado"),CONCATENATE("R10C",'Mapa final'!#REF!),"")</f>
        <v>#REF!</v>
      </c>
      <c r="AB35" s="44" t="e">
        <f>IF(AND('Mapa final'!#REF!="Media",'Mapa final'!#REF!="Mayor"),CONCATENATE("R10C",'Mapa final'!#REF!),"")</f>
        <v>#REF!</v>
      </c>
      <c r="AC35" s="45" t="e">
        <f>IF(AND('Mapa final'!#REF!="Media",'Mapa final'!#REF!="Mayor"),CONCATENATE("R10C",'Mapa final'!#REF!),"")</f>
        <v>#REF!</v>
      </c>
      <c r="AD35" s="45" t="e">
        <f>IF(AND('Mapa final'!#REF!="Media",'Mapa final'!#REF!="Mayor"),CONCATENATE("R10C",'Mapa final'!#REF!),"")</f>
        <v>#REF!</v>
      </c>
      <c r="AE35" s="45" t="e">
        <f>IF(AND('Mapa final'!#REF!="Media",'Mapa final'!#REF!="Mayor"),CONCATENATE("R10C",'Mapa final'!#REF!),"")</f>
        <v>#REF!</v>
      </c>
      <c r="AF35" s="45" t="e">
        <f>IF(AND('Mapa final'!#REF!="Media",'Mapa final'!#REF!="Mayor"),CONCATENATE("R10C",'Mapa final'!#REF!),"")</f>
        <v>#REF!</v>
      </c>
      <c r="AG35" s="46" t="e">
        <f>IF(AND('Mapa final'!#REF!="Media",'Mapa final'!#REF!="Mayor"),CONCATENATE("R10C",'Mapa final'!#REF!),"")</f>
        <v>#REF!</v>
      </c>
      <c r="AH35" s="47" t="e">
        <f>IF(AND('Mapa final'!#REF!="Media",'Mapa final'!#REF!="Catastrófico"),CONCATENATE("R10C",'Mapa final'!#REF!),"")</f>
        <v>#REF!</v>
      </c>
      <c r="AI35" s="48" t="e">
        <f>IF(AND('Mapa final'!#REF!="Media",'Mapa final'!#REF!="Catastrófico"),CONCATENATE("R10C",'Mapa final'!#REF!),"")</f>
        <v>#REF!</v>
      </c>
      <c r="AJ35" s="48" t="e">
        <f>IF(AND('Mapa final'!#REF!="Media",'Mapa final'!#REF!="Catastrófico"),CONCATENATE("R10C",'Mapa final'!#REF!),"")</f>
        <v>#REF!</v>
      </c>
      <c r="AK35" s="48" t="e">
        <f>IF(AND('Mapa final'!#REF!="Media",'Mapa final'!#REF!="Catastrófico"),CONCATENATE("R10C",'Mapa final'!#REF!),"")</f>
        <v>#REF!</v>
      </c>
      <c r="AL35" s="48" t="e">
        <f>IF(AND('Mapa final'!#REF!="Media",'Mapa final'!#REF!="Catastrófico"),CONCATENATE("R10C",'Mapa final'!#REF!),"")</f>
        <v>#REF!</v>
      </c>
      <c r="AM35" s="49" t="e">
        <f>IF(AND('Mapa final'!#REF!="Media",'Mapa final'!#REF!="Catastrófico"),CONCATENATE("R10C",'Mapa final'!#REF!),"")</f>
        <v>#REF!</v>
      </c>
      <c r="AN35" s="69"/>
      <c r="AO35" s="386"/>
      <c r="AP35" s="387"/>
      <c r="AQ35" s="387"/>
      <c r="AR35" s="387"/>
      <c r="AS35" s="387"/>
      <c r="AT35" s="388"/>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row>
    <row r="36" spans="1:80" ht="15" customHeight="1" x14ac:dyDescent="0.25">
      <c r="A36" s="69"/>
      <c r="B36" s="302"/>
      <c r="C36" s="302"/>
      <c r="D36" s="303"/>
      <c r="E36" s="340" t="s">
        <v>113</v>
      </c>
      <c r="F36" s="341"/>
      <c r="G36" s="341"/>
      <c r="H36" s="341"/>
      <c r="I36" s="341"/>
      <c r="J36" s="59" t="e">
        <f>IF(AND('Mapa final'!#REF!="Baja",'Mapa final'!#REF!="Leve"),CONCATENATE("R1C",'Mapa final'!#REF!),"")</f>
        <v>#REF!</v>
      </c>
      <c r="K36" s="60" t="e">
        <f>IF(AND('Mapa final'!#REF!="Baja",'Mapa final'!#REF!="Leve"),CONCATENATE("R1C",'Mapa final'!#REF!),"")</f>
        <v>#REF!</v>
      </c>
      <c r="L36" s="60" t="e">
        <f>IF(AND('Mapa final'!#REF!="Baja",'Mapa final'!#REF!="Leve"),CONCATENATE("R1C",'Mapa final'!#REF!),"")</f>
        <v>#REF!</v>
      </c>
      <c r="M36" s="60" t="e">
        <f>IF(AND('Mapa final'!#REF!="Baja",'Mapa final'!#REF!="Leve"),CONCATENATE("R1C",'Mapa final'!#REF!),"")</f>
        <v>#REF!</v>
      </c>
      <c r="N36" s="60" t="e">
        <f>IF(AND('Mapa final'!#REF!="Baja",'Mapa final'!#REF!="Leve"),CONCATENATE("R1C",'Mapa final'!#REF!),"")</f>
        <v>#REF!</v>
      </c>
      <c r="O36" s="61" t="e">
        <f>IF(AND('Mapa final'!#REF!="Baja",'Mapa final'!#REF!="Leve"),CONCATENATE("R1C",'Mapa final'!#REF!),"")</f>
        <v>#REF!</v>
      </c>
      <c r="P36" s="50" t="e">
        <f>IF(AND('Mapa final'!#REF!="Baja",'Mapa final'!#REF!="Menor"),CONCATENATE("R1C",'Mapa final'!#REF!),"")</f>
        <v>#REF!</v>
      </c>
      <c r="Q36" s="51" t="e">
        <f>IF(AND('Mapa final'!#REF!="Baja",'Mapa final'!#REF!="Menor"),CONCATENATE("R1C",'Mapa final'!#REF!),"")</f>
        <v>#REF!</v>
      </c>
      <c r="R36" s="51" t="e">
        <f>IF(AND('Mapa final'!#REF!="Baja",'Mapa final'!#REF!="Menor"),CONCATENATE("R1C",'Mapa final'!#REF!),"")</f>
        <v>#REF!</v>
      </c>
      <c r="S36" s="51" t="e">
        <f>IF(AND('Mapa final'!#REF!="Baja",'Mapa final'!#REF!="Menor"),CONCATENATE("R1C",'Mapa final'!#REF!),"")</f>
        <v>#REF!</v>
      </c>
      <c r="T36" s="51" t="e">
        <f>IF(AND('Mapa final'!#REF!="Baja",'Mapa final'!#REF!="Menor"),CONCATENATE("R1C",'Mapa final'!#REF!),"")</f>
        <v>#REF!</v>
      </c>
      <c r="U36" s="52" t="e">
        <f>IF(AND('Mapa final'!#REF!="Baja",'Mapa final'!#REF!="Menor"),CONCATENATE("R1C",'Mapa final'!#REF!),"")</f>
        <v>#REF!</v>
      </c>
      <c r="V36" s="50" t="e">
        <f>IF(AND('Mapa final'!#REF!="Baja",'Mapa final'!#REF!="Moderado"),CONCATENATE("R1C",'Mapa final'!#REF!),"")</f>
        <v>#REF!</v>
      </c>
      <c r="W36" s="51" t="e">
        <f>IF(AND('Mapa final'!#REF!="Baja",'Mapa final'!#REF!="Moderado"),CONCATENATE("R1C",'Mapa final'!#REF!),"")</f>
        <v>#REF!</v>
      </c>
      <c r="X36" s="51" t="e">
        <f>IF(AND('Mapa final'!#REF!="Baja",'Mapa final'!#REF!="Moderado"),CONCATENATE("R1C",'Mapa final'!#REF!),"")</f>
        <v>#REF!</v>
      </c>
      <c r="Y36" s="51" t="e">
        <f>IF(AND('Mapa final'!#REF!="Baja",'Mapa final'!#REF!="Moderado"),CONCATENATE("R1C",'Mapa final'!#REF!),"")</f>
        <v>#REF!</v>
      </c>
      <c r="Z36" s="51" t="e">
        <f>IF(AND('Mapa final'!#REF!="Baja",'Mapa final'!#REF!="Moderado"),CONCATENATE("R1C",'Mapa final'!#REF!),"")</f>
        <v>#REF!</v>
      </c>
      <c r="AA36" s="52" t="e">
        <f>IF(AND('Mapa final'!#REF!="Baja",'Mapa final'!#REF!="Moderado"),CONCATENATE("R1C",'Mapa final'!#REF!),"")</f>
        <v>#REF!</v>
      </c>
      <c r="AB36" s="32" t="e">
        <f>IF(AND('Mapa final'!#REF!="Baja",'Mapa final'!#REF!="Mayor"),CONCATENATE("R1C",'Mapa final'!#REF!),"")</f>
        <v>#REF!</v>
      </c>
      <c r="AC36" s="33" t="e">
        <f>IF(AND('Mapa final'!#REF!="Baja",'Mapa final'!#REF!="Mayor"),CONCATENATE("R1C",'Mapa final'!#REF!),"")</f>
        <v>#REF!</v>
      </c>
      <c r="AD36" s="33" t="e">
        <f>IF(AND('Mapa final'!#REF!="Baja",'Mapa final'!#REF!="Mayor"),CONCATENATE("R1C",'Mapa final'!#REF!),"")</f>
        <v>#REF!</v>
      </c>
      <c r="AE36" s="33" t="e">
        <f>IF(AND('Mapa final'!#REF!="Baja",'Mapa final'!#REF!="Mayor"),CONCATENATE("R1C",'Mapa final'!#REF!),"")</f>
        <v>#REF!</v>
      </c>
      <c r="AF36" s="33" t="e">
        <f>IF(AND('Mapa final'!#REF!="Baja",'Mapa final'!#REF!="Mayor"),CONCATENATE("R1C",'Mapa final'!#REF!),"")</f>
        <v>#REF!</v>
      </c>
      <c r="AG36" s="34" t="e">
        <f>IF(AND('Mapa final'!#REF!="Baja",'Mapa final'!#REF!="Mayor"),CONCATENATE("R1C",'Mapa final'!#REF!),"")</f>
        <v>#REF!</v>
      </c>
      <c r="AH36" s="35" t="e">
        <f>IF(AND('Mapa final'!#REF!="Baja",'Mapa final'!#REF!="Catastrófico"),CONCATENATE("R1C",'Mapa final'!#REF!),"")</f>
        <v>#REF!</v>
      </c>
      <c r="AI36" s="36" t="e">
        <f>IF(AND('Mapa final'!#REF!="Baja",'Mapa final'!#REF!="Catastrófico"),CONCATENATE("R1C",'Mapa final'!#REF!),"")</f>
        <v>#REF!</v>
      </c>
      <c r="AJ36" s="36" t="e">
        <f>IF(AND('Mapa final'!#REF!="Baja",'Mapa final'!#REF!="Catastrófico"),CONCATENATE("R1C",'Mapa final'!#REF!),"")</f>
        <v>#REF!</v>
      </c>
      <c r="AK36" s="36" t="e">
        <f>IF(AND('Mapa final'!#REF!="Baja",'Mapa final'!#REF!="Catastrófico"),CONCATENATE("R1C",'Mapa final'!#REF!),"")</f>
        <v>#REF!</v>
      </c>
      <c r="AL36" s="36" t="e">
        <f>IF(AND('Mapa final'!#REF!="Baja",'Mapa final'!#REF!="Catastrófico"),CONCATENATE("R1C",'Mapa final'!#REF!),"")</f>
        <v>#REF!</v>
      </c>
      <c r="AM36" s="37" t="e">
        <f>IF(AND('Mapa final'!#REF!="Baja",'Mapa final'!#REF!="Catastrófico"),CONCATENATE("R1C",'Mapa final'!#REF!),"")</f>
        <v>#REF!</v>
      </c>
      <c r="AN36" s="69"/>
      <c r="AO36" s="371" t="s">
        <v>81</v>
      </c>
      <c r="AP36" s="372"/>
      <c r="AQ36" s="372"/>
      <c r="AR36" s="372"/>
      <c r="AS36" s="372"/>
      <c r="AT36" s="373"/>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row>
    <row r="37" spans="1:80" ht="15" customHeight="1" x14ac:dyDescent="0.25">
      <c r="A37" s="69"/>
      <c r="B37" s="302"/>
      <c r="C37" s="302"/>
      <c r="D37" s="303"/>
      <c r="E37" s="359"/>
      <c r="F37" s="344"/>
      <c r="G37" s="344"/>
      <c r="H37" s="344"/>
      <c r="I37" s="344"/>
      <c r="J37" s="62" t="str">
        <f>IF(AND('Mapa final'!$AD$13="Baja",'Mapa final'!$AF$13="Leve"),CONCATENATE("R2C",'Mapa final'!$S$13),"")</f>
        <v/>
      </c>
      <c r="K37" s="63" t="str">
        <f>IF(AND('Mapa final'!$AD$17="Baja",'Mapa final'!$AF$17="Leve"),CONCATENATE("R2C",'Mapa final'!$S$17),"")</f>
        <v/>
      </c>
      <c r="L37" s="63" t="e">
        <f>IF(AND('Mapa final'!#REF!="Baja",'Mapa final'!#REF!="Leve"),CONCATENATE("R2C",'Mapa final'!#REF!),"")</f>
        <v>#REF!</v>
      </c>
      <c r="M37" s="63" t="e">
        <f>IF(AND('Mapa final'!#REF!="Baja",'Mapa final'!#REF!="Leve"),CONCATENATE("R2C",'Mapa final'!#REF!),"")</f>
        <v>#REF!</v>
      </c>
      <c r="N37" s="63" t="e">
        <f>IF(AND('Mapa final'!#REF!="Baja",'Mapa final'!#REF!="Leve"),CONCATENATE("R2C",'Mapa final'!#REF!),"")</f>
        <v>#REF!</v>
      </c>
      <c r="O37" s="64" t="e">
        <f>IF(AND('Mapa final'!#REF!="Baja",'Mapa final'!#REF!="Leve"),CONCATENATE("R2C",'Mapa final'!#REF!),"")</f>
        <v>#REF!</v>
      </c>
      <c r="P37" s="53" t="str">
        <f>IF(AND('Mapa final'!$AD$13="Baja",'Mapa final'!$AF$13="Menor"),CONCATENATE("R2C",'Mapa final'!$S$13),"")</f>
        <v/>
      </c>
      <c r="Q37" s="54" t="str">
        <f>IF(AND('Mapa final'!$AD$17="Baja",'Mapa final'!$AF$17="Menor"),CONCATENATE("R2C",'Mapa final'!$S$17),"")</f>
        <v/>
      </c>
      <c r="R37" s="54" t="e">
        <f>IF(AND('Mapa final'!#REF!="Baja",'Mapa final'!#REF!="Menor"),CONCATENATE("R2C",'Mapa final'!#REF!),"")</f>
        <v>#REF!</v>
      </c>
      <c r="S37" s="54" t="e">
        <f>IF(AND('Mapa final'!#REF!="Baja",'Mapa final'!#REF!="Menor"),CONCATENATE("R2C",'Mapa final'!#REF!),"")</f>
        <v>#REF!</v>
      </c>
      <c r="T37" s="54" t="e">
        <f>IF(AND('Mapa final'!#REF!="Baja",'Mapa final'!#REF!="Menor"),CONCATENATE("R2C",'Mapa final'!#REF!),"")</f>
        <v>#REF!</v>
      </c>
      <c r="U37" s="55" t="e">
        <f>IF(AND('Mapa final'!#REF!="Baja",'Mapa final'!#REF!="Menor"),CONCATENATE("R2C",'Mapa final'!#REF!),"")</f>
        <v>#REF!</v>
      </c>
      <c r="V37" s="53" t="str">
        <f>IF(AND('Mapa final'!$AD$13="Baja",'Mapa final'!$AF$13="Moderado"),CONCATENATE("R2C",'Mapa final'!$S$13),"")</f>
        <v/>
      </c>
      <c r="W37" s="54" t="str">
        <f>IF(AND('Mapa final'!$AD$17="Baja",'Mapa final'!$AF$17="Moderado"),CONCATENATE("R2C",'Mapa final'!$S$17),"")</f>
        <v/>
      </c>
      <c r="X37" s="54" t="e">
        <f>IF(AND('Mapa final'!#REF!="Baja",'Mapa final'!#REF!="Moderado"),CONCATENATE("R2C",'Mapa final'!#REF!),"")</f>
        <v>#REF!</v>
      </c>
      <c r="Y37" s="54" t="e">
        <f>IF(AND('Mapa final'!#REF!="Baja",'Mapa final'!#REF!="Moderado"),CONCATENATE("R2C",'Mapa final'!#REF!),"")</f>
        <v>#REF!</v>
      </c>
      <c r="Z37" s="54" t="e">
        <f>IF(AND('Mapa final'!#REF!="Baja",'Mapa final'!#REF!="Moderado"),CONCATENATE("R2C",'Mapa final'!#REF!),"")</f>
        <v>#REF!</v>
      </c>
      <c r="AA37" s="55" t="e">
        <f>IF(AND('Mapa final'!#REF!="Baja",'Mapa final'!#REF!="Moderado"),CONCATENATE("R2C",'Mapa final'!#REF!),"")</f>
        <v>#REF!</v>
      </c>
      <c r="AB37" s="38" t="str">
        <f>IF(AND('Mapa final'!$AD$13="Baja",'Mapa final'!$AF$13="Mayor"),CONCATENATE("R2C",'Mapa final'!$S$13),"")</f>
        <v/>
      </c>
      <c r="AC37" s="39" t="str">
        <f>IF(AND('Mapa final'!$AD$17="Baja",'Mapa final'!$AF$17="Mayor"),CONCATENATE("R2C",'Mapa final'!$S$17),"")</f>
        <v/>
      </c>
      <c r="AD37" s="39" t="e">
        <f>IF(AND('Mapa final'!#REF!="Baja",'Mapa final'!#REF!="Mayor"),CONCATENATE("R2C",'Mapa final'!#REF!),"")</f>
        <v>#REF!</v>
      </c>
      <c r="AE37" s="39" t="e">
        <f>IF(AND('Mapa final'!#REF!="Baja",'Mapa final'!#REF!="Mayor"),CONCATENATE("R2C",'Mapa final'!#REF!),"")</f>
        <v>#REF!</v>
      </c>
      <c r="AF37" s="39" t="e">
        <f>IF(AND('Mapa final'!#REF!="Baja",'Mapa final'!#REF!="Mayor"),CONCATENATE("R2C",'Mapa final'!#REF!),"")</f>
        <v>#REF!</v>
      </c>
      <c r="AG37" s="40" t="e">
        <f>IF(AND('Mapa final'!#REF!="Baja",'Mapa final'!#REF!="Mayor"),CONCATENATE("R2C",'Mapa final'!#REF!),"")</f>
        <v>#REF!</v>
      </c>
      <c r="AH37" s="41" t="str">
        <f>IF(AND('Mapa final'!$AD$13="Baja",'Mapa final'!$AF$13="Catastrófico"),CONCATENATE("R2C",'Mapa final'!$S$13),"")</f>
        <v/>
      </c>
      <c r="AI37" s="42" t="str">
        <f>IF(AND('Mapa final'!$AD$17="Baja",'Mapa final'!$AF$17="Catastrófico"),CONCATENATE("R2C",'Mapa final'!$S$17),"")</f>
        <v/>
      </c>
      <c r="AJ37" s="42" t="e">
        <f>IF(AND('Mapa final'!#REF!="Baja",'Mapa final'!#REF!="Catastrófico"),CONCATENATE("R2C",'Mapa final'!#REF!),"")</f>
        <v>#REF!</v>
      </c>
      <c r="AK37" s="42" t="e">
        <f>IF(AND('Mapa final'!#REF!="Baja",'Mapa final'!#REF!="Catastrófico"),CONCATENATE("R2C",'Mapa final'!#REF!),"")</f>
        <v>#REF!</v>
      </c>
      <c r="AL37" s="42" t="e">
        <f>IF(AND('Mapa final'!#REF!="Baja",'Mapa final'!#REF!="Catastrófico"),CONCATENATE("R2C",'Mapa final'!#REF!),"")</f>
        <v>#REF!</v>
      </c>
      <c r="AM37" s="43" t="e">
        <f>IF(AND('Mapa final'!#REF!="Baja",'Mapa final'!#REF!="Catastrófico"),CONCATENATE("R2C",'Mapa final'!#REF!),"")</f>
        <v>#REF!</v>
      </c>
      <c r="AN37" s="69"/>
      <c r="AO37" s="374"/>
      <c r="AP37" s="375"/>
      <c r="AQ37" s="375"/>
      <c r="AR37" s="375"/>
      <c r="AS37" s="375"/>
      <c r="AT37" s="376"/>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row>
    <row r="38" spans="1:80" ht="15" customHeight="1" x14ac:dyDescent="0.25">
      <c r="A38" s="69"/>
      <c r="B38" s="302"/>
      <c r="C38" s="302"/>
      <c r="D38" s="303"/>
      <c r="E38" s="343"/>
      <c r="F38" s="344"/>
      <c r="G38" s="344"/>
      <c r="H38" s="344"/>
      <c r="I38" s="344"/>
      <c r="J38" s="62" t="e">
        <f>IF(AND('Mapa final'!#REF!="Baja",'Mapa final'!#REF!="Leve"),CONCATENATE("R3C",'Mapa final'!#REF!),"")</f>
        <v>#REF!</v>
      </c>
      <c r="K38" s="63" t="e">
        <f>IF(AND('Mapa final'!#REF!="Baja",'Mapa final'!#REF!="Leve"),CONCATENATE("R3C",'Mapa final'!#REF!),"")</f>
        <v>#REF!</v>
      </c>
      <c r="L38" s="63" t="e">
        <f>IF(AND('Mapa final'!#REF!="Baja",'Mapa final'!#REF!="Leve"),CONCATENATE("R3C",'Mapa final'!#REF!),"")</f>
        <v>#REF!</v>
      </c>
      <c r="M38" s="63" t="e">
        <f>IF(AND('Mapa final'!#REF!="Baja",'Mapa final'!#REF!="Leve"),CONCATENATE("R3C",'Mapa final'!#REF!),"")</f>
        <v>#REF!</v>
      </c>
      <c r="N38" s="63" t="e">
        <f>IF(AND('Mapa final'!#REF!="Baja",'Mapa final'!#REF!="Leve"),CONCATENATE("R3C",'Mapa final'!#REF!),"")</f>
        <v>#REF!</v>
      </c>
      <c r="O38" s="64" t="e">
        <f>IF(AND('Mapa final'!#REF!="Baja",'Mapa final'!#REF!="Leve"),CONCATENATE("R3C",'Mapa final'!#REF!),"")</f>
        <v>#REF!</v>
      </c>
      <c r="P38" s="53" t="e">
        <f>IF(AND('Mapa final'!#REF!="Baja",'Mapa final'!#REF!="Menor"),CONCATENATE("R3C",'Mapa final'!#REF!),"")</f>
        <v>#REF!</v>
      </c>
      <c r="Q38" s="54" t="e">
        <f>IF(AND('Mapa final'!#REF!="Baja",'Mapa final'!#REF!="Menor"),CONCATENATE("R3C",'Mapa final'!#REF!),"")</f>
        <v>#REF!</v>
      </c>
      <c r="R38" s="54" t="e">
        <f>IF(AND('Mapa final'!#REF!="Baja",'Mapa final'!#REF!="Menor"),CONCATENATE("R3C",'Mapa final'!#REF!),"")</f>
        <v>#REF!</v>
      </c>
      <c r="S38" s="54" t="e">
        <f>IF(AND('Mapa final'!#REF!="Baja",'Mapa final'!#REF!="Menor"),CONCATENATE("R3C",'Mapa final'!#REF!),"")</f>
        <v>#REF!</v>
      </c>
      <c r="T38" s="54" t="e">
        <f>IF(AND('Mapa final'!#REF!="Baja",'Mapa final'!#REF!="Menor"),CONCATENATE("R3C",'Mapa final'!#REF!),"")</f>
        <v>#REF!</v>
      </c>
      <c r="U38" s="55" t="e">
        <f>IF(AND('Mapa final'!#REF!="Baja",'Mapa final'!#REF!="Menor"),CONCATENATE("R3C",'Mapa final'!#REF!),"")</f>
        <v>#REF!</v>
      </c>
      <c r="V38" s="53" t="e">
        <f>IF(AND('Mapa final'!#REF!="Baja",'Mapa final'!#REF!="Moderado"),CONCATENATE("R3C",'Mapa final'!#REF!),"")</f>
        <v>#REF!</v>
      </c>
      <c r="W38" s="54" t="e">
        <f>IF(AND('Mapa final'!#REF!="Baja",'Mapa final'!#REF!="Moderado"),CONCATENATE("R3C",'Mapa final'!#REF!),"")</f>
        <v>#REF!</v>
      </c>
      <c r="X38" s="54" t="e">
        <f>IF(AND('Mapa final'!#REF!="Baja",'Mapa final'!#REF!="Moderado"),CONCATENATE("R3C",'Mapa final'!#REF!),"")</f>
        <v>#REF!</v>
      </c>
      <c r="Y38" s="54" t="e">
        <f>IF(AND('Mapa final'!#REF!="Baja",'Mapa final'!#REF!="Moderado"),CONCATENATE("R3C",'Mapa final'!#REF!),"")</f>
        <v>#REF!</v>
      </c>
      <c r="Z38" s="54" t="e">
        <f>IF(AND('Mapa final'!#REF!="Baja",'Mapa final'!#REF!="Moderado"),CONCATENATE("R3C",'Mapa final'!#REF!),"")</f>
        <v>#REF!</v>
      </c>
      <c r="AA38" s="55" t="e">
        <f>IF(AND('Mapa final'!#REF!="Baja",'Mapa final'!#REF!="Moderado"),CONCATENATE("R3C",'Mapa final'!#REF!),"")</f>
        <v>#REF!</v>
      </c>
      <c r="AB38" s="38" t="e">
        <f>IF(AND('Mapa final'!#REF!="Baja",'Mapa final'!#REF!="Mayor"),CONCATENATE("R3C",'Mapa final'!#REF!),"")</f>
        <v>#REF!</v>
      </c>
      <c r="AC38" s="39" t="e">
        <f>IF(AND('Mapa final'!#REF!="Baja",'Mapa final'!#REF!="Mayor"),CONCATENATE("R3C",'Mapa final'!#REF!),"")</f>
        <v>#REF!</v>
      </c>
      <c r="AD38" s="39" t="e">
        <f>IF(AND('Mapa final'!#REF!="Baja",'Mapa final'!#REF!="Mayor"),CONCATENATE("R3C",'Mapa final'!#REF!),"")</f>
        <v>#REF!</v>
      </c>
      <c r="AE38" s="39" t="e">
        <f>IF(AND('Mapa final'!#REF!="Baja",'Mapa final'!#REF!="Mayor"),CONCATENATE("R3C",'Mapa final'!#REF!),"")</f>
        <v>#REF!</v>
      </c>
      <c r="AF38" s="39" t="e">
        <f>IF(AND('Mapa final'!#REF!="Baja",'Mapa final'!#REF!="Mayor"),CONCATENATE("R3C",'Mapa final'!#REF!),"")</f>
        <v>#REF!</v>
      </c>
      <c r="AG38" s="40" t="e">
        <f>IF(AND('Mapa final'!#REF!="Baja",'Mapa final'!#REF!="Mayor"),CONCATENATE("R3C",'Mapa final'!#REF!),"")</f>
        <v>#REF!</v>
      </c>
      <c r="AH38" s="41" t="e">
        <f>IF(AND('Mapa final'!#REF!="Baja",'Mapa final'!#REF!="Catastrófico"),CONCATENATE("R3C",'Mapa final'!#REF!),"")</f>
        <v>#REF!</v>
      </c>
      <c r="AI38" s="42" t="e">
        <f>IF(AND('Mapa final'!#REF!="Baja",'Mapa final'!#REF!="Catastrófico"),CONCATENATE("R3C",'Mapa final'!#REF!),"")</f>
        <v>#REF!</v>
      </c>
      <c r="AJ38" s="42" t="e">
        <f>IF(AND('Mapa final'!#REF!="Baja",'Mapa final'!#REF!="Catastrófico"),CONCATENATE("R3C",'Mapa final'!#REF!),"")</f>
        <v>#REF!</v>
      </c>
      <c r="AK38" s="42" t="e">
        <f>IF(AND('Mapa final'!#REF!="Baja",'Mapa final'!#REF!="Catastrófico"),CONCATENATE("R3C",'Mapa final'!#REF!),"")</f>
        <v>#REF!</v>
      </c>
      <c r="AL38" s="42" t="e">
        <f>IF(AND('Mapa final'!#REF!="Baja",'Mapa final'!#REF!="Catastrófico"),CONCATENATE("R3C",'Mapa final'!#REF!),"")</f>
        <v>#REF!</v>
      </c>
      <c r="AM38" s="43" t="e">
        <f>IF(AND('Mapa final'!#REF!="Baja",'Mapa final'!#REF!="Catastrófico"),CONCATENATE("R3C",'Mapa final'!#REF!),"")</f>
        <v>#REF!</v>
      </c>
      <c r="AN38" s="69"/>
      <c r="AO38" s="374"/>
      <c r="AP38" s="375"/>
      <c r="AQ38" s="375"/>
      <c r="AR38" s="375"/>
      <c r="AS38" s="375"/>
      <c r="AT38" s="376"/>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row>
    <row r="39" spans="1:80" ht="15" customHeight="1" x14ac:dyDescent="0.25">
      <c r="A39" s="69"/>
      <c r="B39" s="302"/>
      <c r="C39" s="302"/>
      <c r="D39" s="303"/>
      <c r="E39" s="343"/>
      <c r="F39" s="344"/>
      <c r="G39" s="344"/>
      <c r="H39" s="344"/>
      <c r="I39" s="344"/>
      <c r="J39" s="62" t="e">
        <f>IF(AND('Mapa final'!#REF!="Baja",'Mapa final'!#REF!="Leve"),CONCATENATE("R4C",'Mapa final'!#REF!),"")</f>
        <v>#REF!</v>
      </c>
      <c r="K39" s="63" t="e">
        <f>IF(AND('Mapa final'!#REF!="Baja",'Mapa final'!#REF!="Leve"),CONCATENATE("R4C",'Mapa final'!#REF!),"")</f>
        <v>#REF!</v>
      </c>
      <c r="L39" s="63" t="e">
        <f>IF(AND('Mapa final'!#REF!="Baja",'Mapa final'!#REF!="Leve"),CONCATENATE("R4C",'Mapa final'!#REF!),"")</f>
        <v>#REF!</v>
      </c>
      <c r="M39" s="63" t="e">
        <f>IF(AND('Mapa final'!#REF!="Baja",'Mapa final'!#REF!="Leve"),CONCATENATE("R4C",'Mapa final'!#REF!),"")</f>
        <v>#REF!</v>
      </c>
      <c r="N39" s="63" t="e">
        <f>IF(AND('Mapa final'!#REF!="Baja",'Mapa final'!#REF!="Leve"),CONCATENATE("R4C",'Mapa final'!#REF!),"")</f>
        <v>#REF!</v>
      </c>
      <c r="O39" s="64" t="e">
        <f>IF(AND('Mapa final'!#REF!="Baja",'Mapa final'!#REF!="Leve"),CONCATENATE("R4C",'Mapa final'!#REF!),"")</f>
        <v>#REF!</v>
      </c>
      <c r="P39" s="53" t="e">
        <f>IF(AND('Mapa final'!#REF!="Baja",'Mapa final'!#REF!="Menor"),CONCATENATE("R4C",'Mapa final'!#REF!),"")</f>
        <v>#REF!</v>
      </c>
      <c r="Q39" s="54" t="e">
        <f>IF(AND('Mapa final'!#REF!="Baja",'Mapa final'!#REF!="Menor"),CONCATENATE("R4C",'Mapa final'!#REF!),"")</f>
        <v>#REF!</v>
      </c>
      <c r="R39" s="54" t="e">
        <f>IF(AND('Mapa final'!#REF!="Baja",'Mapa final'!#REF!="Menor"),CONCATENATE("R4C",'Mapa final'!#REF!),"")</f>
        <v>#REF!</v>
      </c>
      <c r="S39" s="54" t="e">
        <f>IF(AND('Mapa final'!#REF!="Baja",'Mapa final'!#REF!="Menor"),CONCATENATE("R4C",'Mapa final'!#REF!),"")</f>
        <v>#REF!</v>
      </c>
      <c r="T39" s="54" t="e">
        <f>IF(AND('Mapa final'!#REF!="Baja",'Mapa final'!#REF!="Menor"),CONCATENATE("R4C",'Mapa final'!#REF!),"")</f>
        <v>#REF!</v>
      </c>
      <c r="U39" s="55" t="e">
        <f>IF(AND('Mapa final'!#REF!="Baja",'Mapa final'!#REF!="Menor"),CONCATENATE("R4C",'Mapa final'!#REF!),"")</f>
        <v>#REF!</v>
      </c>
      <c r="V39" s="53" t="e">
        <f>IF(AND('Mapa final'!#REF!="Baja",'Mapa final'!#REF!="Moderado"),CONCATENATE("R4C",'Mapa final'!#REF!),"")</f>
        <v>#REF!</v>
      </c>
      <c r="W39" s="54" t="e">
        <f>IF(AND('Mapa final'!#REF!="Baja",'Mapa final'!#REF!="Moderado"),CONCATENATE("R4C",'Mapa final'!#REF!),"")</f>
        <v>#REF!</v>
      </c>
      <c r="X39" s="54" t="e">
        <f>IF(AND('Mapa final'!#REF!="Baja",'Mapa final'!#REF!="Moderado"),CONCATENATE("R4C",'Mapa final'!#REF!),"")</f>
        <v>#REF!</v>
      </c>
      <c r="Y39" s="54" t="e">
        <f>IF(AND('Mapa final'!#REF!="Baja",'Mapa final'!#REF!="Moderado"),CONCATENATE("R4C",'Mapa final'!#REF!),"")</f>
        <v>#REF!</v>
      </c>
      <c r="Z39" s="54" t="e">
        <f>IF(AND('Mapa final'!#REF!="Baja",'Mapa final'!#REF!="Moderado"),CONCATENATE("R4C",'Mapa final'!#REF!),"")</f>
        <v>#REF!</v>
      </c>
      <c r="AA39" s="55" t="e">
        <f>IF(AND('Mapa final'!#REF!="Baja",'Mapa final'!#REF!="Moderado"),CONCATENATE("R4C",'Mapa final'!#REF!),"")</f>
        <v>#REF!</v>
      </c>
      <c r="AB39" s="38" t="e">
        <f>IF(AND('Mapa final'!#REF!="Baja",'Mapa final'!#REF!="Mayor"),CONCATENATE("R4C",'Mapa final'!#REF!),"")</f>
        <v>#REF!</v>
      </c>
      <c r="AC39" s="39" t="e">
        <f>IF(AND('Mapa final'!#REF!="Baja",'Mapa final'!#REF!="Mayor"),CONCATENATE("R4C",'Mapa final'!#REF!),"")</f>
        <v>#REF!</v>
      </c>
      <c r="AD39" s="39" t="e">
        <f>IF(AND('Mapa final'!#REF!="Baja",'Mapa final'!#REF!="Mayor"),CONCATENATE("R4C",'Mapa final'!#REF!),"")</f>
        <v>#REF!</v>
      </c>
      <c r="AE39" s="39" t="e">
        <f>IF(AND('Mapa final'!#REF!="Baja",'Mapa final'!#REF!="Mayor"),CONCATENATE("R4C",'Mapa final'!#REF!),"")</f>
        <v>#REF!</v>
      </c>
      <c r="AF39" s="39" t="e">
        <f>IF(AND('Mapa final'!#REF!="Baja",'Mapa final'!#REF!="Mayor"),CONCATENATE("R4C",'Mapa final'!#REF!),"")</f>
        <v>#REF!</v>
      </c>
      <c r="AG39" s="40" t="e">
        <f>IF(AND('Mapa final'!#REF!="Baja",'Mapa final'!#REF!="Mayor"),CONCATENATE("R4C",'Mapa final'!#REF!),"")</f>
        <v>#REF!</v>
      </c>
      <c r="AH39" s="41" t="e">
        <f>IF(AND('Mapa final'!#REF!="Baja",'Mapa final'!#REF!="Catastrófico"),CONCATENATE("R4C",'Mapa final'!#REF!),"")</f>
        <v>#REF!</v>
      </c>
      <c r="AI39" s="42" t="e">
        <f>IF(AND('Mapa final'!#REF!="Baja",'Mapa final'!#REF!="Catastrófico"),CONCATENATE("R4C",'Mapa final'!#REF!),"")</f>
        <v>#REF!</v>
      </c>
      <c r="AJ39" s="42" t="e">
        <f>IF(AND('Mapa final'!#REF!="Baja",'Mapa final'!#REF!="Catastrófico"),CONCATENATE("R4C",'Mapa final'!#REF!),"")</f>
        <v>#REF!</v>
      </c>
      <c r="AK39" s="42" t="e">
        <f>IF(AND('Mapa final'!#REF!="Baja",'Mapa final'!#REF!="Catastrófico"),CONCATENATE("R4C",'Mapa final'!#REF!),"")</f>
        <v>#REF!</v>
      </c>
      <c r="AL39" s="42" t="e">
        <f>IF(AND('Mapa final'!#REF!="Baja",'Mapa final'!#REF!="Catastrófico"),CONCATENATE("R4C",'Mapa final'!#REF!),"")</f>
        <v>#REF!</v>
      </c>
      <c r="AM39" s="43" t="e">
        <f>IF(AND('Mapa final'!#REF!="Baja",'Mapa final'!#REF!="Catastrófico"),CONCATENATE("R4C",'Mapa final'!#REF!),"")</f>
        <v>#REF!</v>
      </c>
      <c r="AN39" s="69"/>
      <c r="AO39" s="374"/>
      <c r="AP39" s="375"/>
      <c r="AQ39" s="375"/>
      <c r="AR39" s="375"/>
      <c r="AS39" s="375"/>
      <c r="AT39" s="376"/>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row>
    <row r="40" spans="1:80" ht="15" customHeight="1" x14ac:dyDescent="0.25">
      <c r="A40" s="69"/>
      <c r="B40" s="302"/>
      <c r="C40" s="302"/>
      <c r="D40" s="303"/>
      <c r="E40" s="343"/>
      <c r="F40" s="344"/>
      <c r="G40" s="344"/>
      <c r="H40" s="344"/>
      <c r="I40" s="344"/>
      <c r="J40" s="62" t="e">
        <f>IF(AND('Mapa final'!#REF!="Baja",'Mapa final'!#REF!="Leve"),CONCATENATE("R5C",'Mapa final'!#REF!),"")</f>
        <v>#REF!</v>
      </c>
      <c r="K40" s="63" t="e">
        <f>IF(AND('Mapa final'!#REF!="Baja",'Mapa final'!#REF!="Leve"),CONCATENATE("R5C",'Mapa final'!#REF!),"")</f>
        <v>#REF!</v>
      </c>
      <c r="L40" s="63" t="e">
        <f>IF(AND('Mapa final'!#REF!="Baja",'Mapa final'!#REF!="Leve"),CONCATENATE("R5C",'Mapa final'!#REF!),"")</f>
        <v>#REF!</v>
      </c>
      <c r="M40" s="63" t="e">
        <f>IF(AND('Mapa final'!#REF!="Baja",'Mapa final'!#REF!="Leve"),CONCATENATE("R5C",'Mapa final'!#REF!),"")</f>
        <v>#REF!</v>
      </c>
      <c r="N40" s="63" t="e">
        <f>IF(AND('Mapa final'!#REF!="Baja",'Mapa final'!#REF!="Leve"),CONCATENATE("R5C",'Mapa final'!#REF!),"")</f>
        <v>#REF!</v>
      </c>
      <c r="O40" s="64" t="e">
        <f>IF(AND('Mapa final'!#REF!="Baja",'Mapa final'!#REF!="Leve"),CONCATENATE("R5C",'Mapa final'!#REF!),"")</f>
        <v>#REF!</v>
      </c>
      <c r="P40" s="53" t="e">
        <f>IF(AND('Mapa final'!#REF!="Baja",'Mapa final'!#REF!="Menor"),CONCATENATE("R5C",'Mapa final'!#REF!),"")</f>
        <v>#REF!</v>
      </c>
      <c r="Q40" s="54" t="e">
        <f>IF(AND('Mapa final'!#REF!="Baja",'Mapa final'!#REF!="Menor"),CONCATENATE("R5C",'Mapa final'!#REF!),"")</f>
        <v>#REF!</v>
      </c>
      <c r="R40" s="54" t="e">
        <f>IF(AND('Mapa final'!#REF!="Baja",'Mapa final'!#REF!="Menor"),CONCATENATE("R5C",'Mapa final'!#REF!),"")</f>
        <v>#REF!</v>
      </c>
      <c r="S40" s="54" t="e">
        <f>IF(AND('Mapa final'!#REF!="Baja",'Mapa final'!#REF!="Menor"),CONCATENATE("R5C",'Mapa final'!#REF!),"")</f>
        <v>#REF!</v>
      </c>
      <c r="T40" s="54" t="e">
        <f>IF(AND('Mapa final'!#REF!="Baja",'Mapa final'!#REF!="Menor"),CONCATENATE("R5C",'Mapa final'!#REF!),"")</f>
        <v>#REF!</v>
      </c>
      <c r="U40" s="55" t="e">
        <f>IF(AND('Mapa final'!#REF!="Baja",'Mapa final'!#REF!="Menor"),CONCATENATE("R5C",'Mapa final'!#REF!),"")</f>
        <v>#REF!</v>
      </c>
      <c r="V40" s="53" t="e">
        <f>IF(AND('Mapa final'!#REF!="Baja",'Mapa final'!#REF!="Moderado"),CONCATENATE("R5C",'Mapa final'!#REF!),"")</f>
        <v>#REF!</v>
      </c>
      <c r="W40" s="54" t="e">
        <f>IF(AND('Mapa final'!#REF!="Baja",'Mapa final'!#REF!="Moderado"),CONCATENATE("R5C",'Mapa final'!#REF!),"")</f>
        <v>#REF!</v>
      </c>
      <c r="X40" s="54" t="e">
        <f>IF(AND('Mapa final'!#REF!="Baja",'Mapa final'!#REF!="Moderado"),CONCATENATE("R5C",'Mapa final'!#REF!),"")</f>
        <v>#REF!</v>
      </c>
      <c r="Y40" s="54" t="e">
        <f>IF(AND('Mapa final'!#REF!="Baja",'Mapa final'!#REF!="Moderado"),CONCATENATE("R5C",'Mapa final'!#REF!),"")</f>
        <v>#REF!</v>
      </c>
      <c r="Z40" s="54" t="e">
        <f>IF(AND('Mapa final'!#REF!="Baja",'Mapa final'!#REF!="Moderado"),CONCATENATE("R5C",'Mapa final'!#REF!),"")</f>
        <v>#REF!</v>
      </c>
      <c r="AA40" s="55" t="e">
        <f>IF(AND('Mapa final'!#REF!="Baja",'Mapa final'!#REF!="Moderado"),CONCATENATE("R5C",'Mapa final'!#REF!),"")</f>
        <v>#REF!</v>
      </c>
      <c r="AB40" s="38" t="e">
        <f>IF(AND('Mapa final'!#REF!="Baja",'Mapa final'!#REF!="Mayor"),CONCATENATE("R5C",'Mapa final'!#REF!),"")</f>
        <v>#REF!</v>
      </c>
      <c r="AC40" s="39" t="e">
        <f>IF(AND('Mapa final'!#REF!="Baja",'Mapa final'!#REF!="Mayor"),CONCATENATE("R5C",'Mapa final'!#REF!),"")</f>
        <v>#REF!</v>
      </c>
      <c r="AD40" s="39" t="e">
        <f>IF(AND('Mapa final'!#REF!="Baja",'Mapa final'!#REF!="Mayor"),CONCATENATE("R5C",'Mapa final'!#REF!),"")</f>
        <v>#REF!</v>
      </c>
      <c r="AE40" s="39" t="e">
        <f>IF(AND('Mapa final'!#REF!="Baja",'Mapa final'!#REF!="Mayor"),CONCATENATE("R5C",'Mapa final'!#REF!),"")</f>
        <v>#REF!</v>
      </c>
      <c r="AF40" s="39" t="e">
        <f>IF(AND('Mapa final'!#REF!="Baja",'Mapa final'!#REF!="Mayor"),CONCATENATE("R5C",'Mapa final'!#REF!),"")</f>
        <v>#REF!</v>
      </c>
      <c r="AG40" s="40" t="e">
        <f>IF(AND('Mapa final'!#REF!="Baja",'Mapa final'!#REF!="Mayor"),CONCATENATE("R5C",'Mapa final'!#REF!),"")</f>
        <v>#REF!</v>
      </c>
      <c r="AH40" s="41" t="e">
        <f>IF(AND('Mapa final'!#REF!="Baja",'Mapa final'!#REF!="Catastrófico"),CONCATENATE("R5C",'Mapa final'!#REF!),"")</f>
        <v>#REF!</v>
      </c>
      <c r="AI40" s="42" t="e">
        <f>IF(AND('Mapa final'!#REF!="Baja",'Mapa final'!#REF!="Catastrófico"),CONCATENATE("R5C",'Mapa final'!#REF!),"")</f>
        <v>#REF!</v>
      </c>
      <c r="AJ40" s="42" t="e">
        <f>IF(AND('Mapa final'!#REF!="Baja",'Mapa final'!#REF!="Catastrófico"),CONCATENATE("R5C",'Mapa final'!#REF!),"")</f>
        <v>#REF!</v>
      </c>
      <c r="AK40" s="42" t="e">
        <f>IF(AND('Mapa final'!#REF!="Baja",'Mapa final'!#REF!="Catastrófico"),CONCATENATE("R5C",'Mapa final'!#REF!),"")</f>
        <v>#REF!</v>
      </c>
      <c r="AL40" s="42" t="e">
        <f>IF(AND('Mapa final'!#REF!="Baja",'Mapa final'!#REF!="Catastrófico"),CONCATENATE("R5C",'Mapa final'!#REF!),"")</f>
        <v>#REF!</v>
      </c>
      <c r="AM40" s="43" t="e">
        <f>IF(AND('Mapa final'!#REF!="Baja",'Mapa final'!#REF!="Catastrófico"),CONCATENATE("R5C",'Mapa final'!#REF!),"")</f>
        <v>#REF!</v>
      </c>
      <c r="AN40" s="69"/>
      <c r="AO40" s="374"/>
      <c r="AP40" s="375"/>
      <c r="AQ40" s="375"/>
      <c r="AR40" s="375"/>
      <c r="AS40" s="375"/>
      <c r="AT40" s="376"/>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row>
    <row r="41" spans="1:80" ht="15" customHeight="1" x14ac:dyDescent="0.25">
      <c r="A41" s="69"/>
      <c r="B41" s="302"/>
      <c r="C41" s="302"/>
      <c r="D41" s="303"/>
      <c r="E41" s="343"/>
      <c r="F41" s="344"/>
      <c r="G41" s="344"/>
      <c r="H41" s="344"/>
      <c r="I41" s="344"/>
      <c r="J41" s="62" t="e">
        <f>IF(AND('Mapa final'!#REF!="Baja",'Mapa final'!#REF!="Leve"),CONCATENATE("R6C",'Mapa final'!#REF!),"")</f>
        <v>#REF!</v>
      </c>
      <c r="K41" s="63" t="e">
        <f>IF(AND('Mapa final'!#REF!="Baja",'Mapa final'!#REF!="Leve"),CONCATENATE("R6C",'Mapa final'!#REF!),"")</f>
        <v>#REF!</v>
      </c>
      <c r="L41" s="63" t="e">
        <f>IF(AND('Mapa final'!#REF!="Baja",'Mapa final'!#REF!="Leve"),CONCATENATE("R6C",'Mapa final'!#REF!),"")</f>
        <v>#REF!</v>
      </c>
      <c r="M41" s="63" t="e">
        <f>IF(AND('Mapa final'!#REF!="Baja",'Mapa final'!#REF!="Leve"),CONCATENATE("R6C",'Mapa final'!#REF!),"")</f>
        <v>#REF!</v>
      </c>
      <c r="N41" s="63" t="e">
        <f>IF(AND('Mapa final'!#REF!="Baja",'Mapa final'!#REF!="Leve"),CONCATENATE("R6C",'Mapa final'!#REF!),"")</f>
        <v>#REF!</v>
      </c>
      <c r="O41" s="64" t="e">
        <f>IF(AND('Mapa final'!#REF!="Baja",'Mapa final'!#REF!="Leve"),CONCATENATE("R6C",'Mapa final'!#REF!),"")</f>
        <v>#REF!</v>
      </c>
      <c r="P41" s="53" t="e">
        <f>IF(AND('Mapa final'!#REF!="Baja",'Mapa final'!#REF!="Menor"),CONCATENATE("R6C",'Mapa final'!#REF!),"")</f>
        <v>#REF!</v>
      </c>
      <c r="Q41" s="54" t="e">
        <f>IF(AND('Mapa final'!#REF!="Baja",'Mapa final'!#REF!="Menor"),CONCATENATE("R6C",'Mapa final'!#REF!),"")</f>
        <v>#REF!</v>
      </c>
      <c r="R41" s="54" t="e">
        <f>IF(AND('Mapa final'!#REF!="Baja",'Mapa final'!#REF!="Menor"),CONCATENATE("R6C",'Mapa final'!#REF!),"")</f>
        <v>#REF!</v>
      </c>
      <c r="S41" s="54" t="e">
        <f>IF(AND('Mapa final'!#REF!="Baja",'Mapa final'!#REF!="Menor"),CONCATENATE("R6C",'Mapa final'!#REF!),"")</f>
        <v>#REF!</v>
      </c>
      <c r="T41" s="54" t="e">
        <f>IF(AND('Mapa final'!#REF!="Baja",'Mapa final'!#REF!="Menor"),CONCATENATE("R6C",'Mapa final'!#REF!),"")</f>
        <v>#REF!</v>
      </c>
      <c r="U41" s="55" t="e">
        <f>IF(AND('Mapa final'!#REF!="Baja",'Mapa final'!#REF!="Menor"),CONCATENATE("R6C",'Mapa final'!#REF!),"")</f>
        <v>#REF!</v>
      </c>
      <c r="V41" s="53" t="e">
        <f>IF(AND('Mapa final'!#REF!="Baja",'Mapa final'!#REF!="Moderado"),CONCATENATE("R6C",'Mapa final'!#REF!),"")</f>
        <v>#REF!</v>
      </c>
      <c r="W41" s="54" t="e">
        <f>IF(AND('Mapa final'!#REF!="Baja",'Mapa final'!#REF!="Moderado"),CONCATENATE("R6C",'Mapa final'!#REF!),"")</f>
        <v>#REF!</v>
      </c>
      <c r="X41" s="54" t="e">
        <f>IF(AND('Mapa final'!#REF!="Baja",'Mapa final'!#REF!="Moderado"),CONCATENATE("R6C",'Mapa final'!#REF!),"")</f>
        <v>#REF!</v>
      </c>
      <c r="Y41" s="54" t="e">
        <f>IF(AND('Mapa final'!#REF!="Baja",'Mapa final'!#REF!="Moderado"),CONCATENATE("R6C",'Mapa final'!#REF!),"")</f>
        <v>#REF!</v>
      </c>
      <c r="Z41" s="54" t="e">
        <f>IF(AND('Mapa final'!#REF!="Baja",'Mapa final'!#REF!="Moderado"),CONCATENATE("R6C",'Mapa final'!#REF!),"")</f>
        <v>#REF!</v>
      </c>
      <c r="AA41" s="55" t="e">
        <f>IF(AND('Mapa final'!#REF!="Baja",'Mapa final'!#REF!="Moderado"),CONCATENATE("R6C",'Mapa final'!#REF!),"")</f>
        <v>#REF!</v>
      </c>
      <c r="AB41" s="38" t="e">
        <f>IF(AND('Mapa final'!#REF!="Baja",'Mapa final'!#REF!="Mayor"),CONCATENATE("R6C",'Mapa final'!#REF!),"")</f>
        <v>#REF!</v>
      </c>
      <c r="AC41" s="39" t="e">
        <f>IF(AND('Mapa final'!#REF!="Baja",'Mapa final'!#REF!="Mayor"),CONCATENATE("R6C",'Mapa final'!#REF!),"")</f>
        <v>#REF!</v>
      </c>
      <c r="AD41" s="39" t="e">
        <f>IF(AND('Mapa final'!#REF!="Baja",'Mapa final'!#REF!="Mayor"),CONCATENATE("R6C",'Mapa final'!#REF!),"")</f>
        <v>#REF!</v>
      </c>
      <c r="AE41" s="39" t="e">
        <f>IF(AND('Mapa final'!#REF!="Baja",'Mapa final'!#REF!="Mayor"),CONCATENATE("R6C",'Mapa final'!#REF!),"")</f>
        <v>#REF!</v>
      </c>
      <c r="AF41" s="39" t="e">
        <f>IF(AND('Mapa final'!#REF!="Baja",'Mapa final'!#REF!="Mayor"),CONCATENATE("R6C",'Mapa final'!#REF!),"")</f>
        <v>#REF!</v>
      </c>
      <c r="AG41" s="40" t="e">
        <f>IF(AND('Mapa final'!#REF!="Baja",'Mapa final'!#REF!="Mayor"),CONCATENATE("R6C",'Mapa final'!#REF!),"")</f>
        <v>#REF!</v>
      </c>
      <c r="AH41" s="41" t="e">
        <f>IF(AND('Mapa final'!#REF!="Baja",'Mapa final'!#REF!="Catastrófico"),CONCATENATE("R6C",'Mapa final'!#REF!),"")</f>
        <v>#REF!</v>
      </c>
      <c r="AI41" s="42" t="e">
        <f>IF(AND('Mapa final'!#REF!="Baja",'Mapa final'!#REF!="Catastrófico"),CONCATENATE("R6C",'Mapa final'!#REF!),"")</f>
        <v>#REF!</v>
      </c>
      <c r="AJ41" s="42" t="e">
        <f>IF(AND('Mapa final'!#REF!="Baja",'Mapa final'!#REF!="Catastrófico"),CONCATENATE("R6C",'Mapa final'!#REF!),"")</f>
        <v>#REF!</v>
      </c>
      <c r="AK41" s="42" t="e">
        <f>IF(AND('Mapa final'!#REF!="Baja",'Mapa final'!#REF!="Catastrófico"),CONCATENATE("R6C",'Mapa final'!#REF!),"")</f>
        <v>#REF!</v>
      </c>
      <c r="AL41" s="42" t="e">
        <f>IF(AND('Mapa final'!#REF!="Baja",'Mapa final'!#REF!="Catastrófico"),CONCATENATE("R6C",'Mapa final'!#REF!),"")</f>
        <v>#REF!</v>
      </c>
      <c r="AM41" s="43" t="e">
        <f>IF(AND('Mapa final'!#REF!="Baja",'Mapa final'!#REF!="Catastrófico"),CONCATENATE("R6C",'Mapa final'!#REF!),"")</f>
        <v>#REF!</v>
      </c>
      <c r="AN41" s="69"/>
      <c r="AO41" s="374"/>
      <c r="AP41" s="375"/>
      <c r="AQ41" s="375"/>
      <c r="AR41" s="375"/>
      <c r="AS41" s="375"/>
      <c r="AT41" s="376"/>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row>
    <row r="42" spans="1:80" ht="15" customHeight="1" x14ac:dyDescent="0.25">
      <c r="A42" s="69"/>
      <c r="B42" s="302"/>
      <c r="C42" s="302"/>
      <c r="D42" s="303"/>
      <c r="E42" s="343"/>
      <c r="F42" s="344"/>
      <c r="G42" s="344"/>
      <c r="H42" s="344"/>
      <c r="I42" s="344"/>
      <c r="J42" s="62" t="e">
        <f>IF(AND('Mapa final'!#REF!="Baja",'Mapa final'!#REF!="Leve"),CONCATENATE("R7C",'Mapa final'!#REF!),"")</f>
        <v>#REF!</v>
      </c>
      <c r="K42" s="63" t="e">
        <f>IF(AND('Mapa final'!#REF!="Baja",'Mapa final'!#REF!="Leve"),CONCATENATE("R7C",'Mapa final'!#REF!),"")</f>
        <v>#REF!</v>
      </c>
      <c r="L42" s="63" t="e">
        <f>IF(AND('Mapa final'!#REF!="Baja",'Mapa final'!#REF!="Leve"),CONCATENATE("R7C",'Mapa final'!#REF!),"")</f>
        <v>#REF!</v>
      </c>
      <c r="M42" s="63" t="e">
        <f>IF(AND('Mapa final'!#REF!="Baja",'Mapa final'!#REF!="Leve"),CONCATENATE("R7C",'Mapa final'!#REF!),"")</f>
        <v>#REF!</v>
      </c>
      <c r="N42" s="63" t="e">
        <f>IF(AND('Mapa final'!#REF!="Baja",'Mapa final'!#REF!="Leve"),CONCATENATE("R7C",'Mapa final'!#REF!),"")</f>
        <v>#REF!</v>
      </c>
      <c r="O42" s="64" t="e">
        <f>IF(AND('Mapa final'!#REF!="Baja",'Mapa final'!#REF!="Leve"),CONCATENATE("R7C",'Mapa final'!#REF!),"")</f>
        <v>#REF!</v>
      </c>
      <c r="P42" s="53" t="e">
        <f>IF(AND('Mapa final'!#REF!="Baja",'Mapa final'!#REF!="Menor"),CONCATENATE("R7C",'Mapa final'!#REF!),"")</f>
        <v>#REF!</v>
      </c>
      <c r="Q42" s="54" t="e">
        <f>IF(AND('Mapa final'!#REF!="Baja",'Mapa final'!#REF!="Menor"),CONCATENATE("R7C",'Mapa final'!#REF!),"")</f>
        <v>#REF!</v>
      </c>
      <c r="R42" s="54" t="e">
        <f>IF(AND('Mapa final'!#REF!="Baja",'Mapa final'!#REF!="Menor"),CONCATENATE("R7C",'Mapa final'!#REF!),"")</f>
        <v>#REF!</v>
      </c>
      <c r="S42" s="54" t="e">
        <f>IF(AND('Mapa final'!#REF!="Baja",'Mapa final'!#REF!="Menor"),CONCATENATE("R7C",'Mapa final'!#REF!),"")</f>
        <v>#REF!</v>
      </c>
      <c r="T42" s="54" t="e">
        <f>IF(AND('Mapa final'!#REF!="Baja",'Mapa final'!#REF!="Menor"),CONCATENATE("R7C",'Mapa final'!#REF!),"")</f>
        <v>#REF!</v>
      </c>
      <c r="U42" s="55" t="e">
        <f>IF(AND('Mapa final'!#REF!="Baja",'Mapa final'!#REF!="Menor"),CONCATENATE("R7C",'Mapa final'!#REF!),"")</f>
        <v>#REF!</v>
      </c>
      <c r="V42" s="53" t="e">
        <f>IF(AND('Mapa final'!#REF!="Baja",'Mapa final'!#REF!="Moderado"),CONCATENATE("R7C",'Mapa final'!#REF!),"")</f>
        <v>#REF!</v>
      </c>
      <c r="W42" s="54" t="e">
        <f>IF(AND('Mapa final'!#REF!="Baja",'Mapa final'!#REF!="Moderado"),CONCATENATE("R7C",'Mapa final'!#REF!),"")</f>
        <v>#REF!</v>
      </c>
      <c r="X42" s="54" t="e">
        <f>IF(AND('Mapa final'!#REF!="Baja",'Mapa final'!#REF!="Moderado"),CONCATENATE("R7C",'Mapa final'!#REF!),"")</f>
        <v>#REF!</v>
      </c>
      <c r="Y42" s="54" t="e">
        <f>IF(AND('Mapa final'!#REF!="Baja",'Mapa final'!#REF!="Moderado"),CONCATENATE("R7C",'Mapa final'!#REF!),"")</f>
        <v>#REF!</v>
      </c>
      <c r="Z42" s="54" t="e">
        <f>IF(AND('Mapa final'!#REF!="Baja",'Mapa final'!#REF!="Moderado"),CONCATENATE("R7C",'Mapa final'!#REF!),"")</f>
        <v>#REF!</v>
      </c>
      <c r="AA42" s="55" t="e">
        <f>IF(AND('Mapa final'!#REF!="Baja",'Mapa final'!#REF!="Moderado"),CONCATENATE("R7C",'Mapa final'!#REF!),"")</f>
        <v>#REF!</v>
      </c>
      <c r="AB42" s="38" t="e">
        <f>IF(AND('Mapa final'!#REF!="Baja",'Mapa final'!#REF!="Mayor"),CONCATENATE("R7C",'Mapa final'!#REF!),"")</f>
        <v>#REF!</v>
      </c>
      <c r="AC42" s="39" t="e">
        <f>IF(AND('Mapa final'!#REF!="Baja",'Mapa final'!#REF!="Mayor"),CONCATENATE("R7C",'Mapa final'!#REF!),"")</f>
        <v>#REF!</v>
      </c>
      <c r="AD42" s="39" t="e">
        <f>IF(AND('Mapa final'!#REF!="Baja",'Mapa final'!#REF!="Mayor"),CONCATENATE("R7C",'Mapa final'!#REF!),"")</f>
        <v>#REF!</v>
      </c>
      <c r="AE42" s="39" t="e">
        <f>IF(AND('Mapa final'!#REF!="Baja",'Mapa final'!#REF!="Mayor"),CONCATENATE("R7C",'Mapa final'!#REF!),"")</f>
        <v>#REF!</v>
      </c>
      <c r="AF42" s="39" t="e">
        <f>IF(AND('Mapa final'!#REF!="Baja",'Mapa final'!#REF!="Mayor"),CONCATENATE("R7C",'Mapa final'!#REF!),"")</f>
        <v>#REF!</v>
      </c>
      <c r="AG42" s="40" t="e">
        <f>IF(AND('Mapa final'!#REF!="Baja",'Mapa final'!#REF!="Mayor"),CONCATENATE("R7C",'Mapa final'!#REF!),"")</f>
        <v>#REF!</v>
      </c>
      <c r="AH42" s="41" t="e">
        <f>IF(AND('Mapa final'!#REF!="Baja",'Mapa final'!#REF!="Catastrófico"),CONCATENATE("R7C",'Mapa final'!#REF!),"")</f>
        <v>#REF!</v>
      </c>
      <c r="AI42" s="42" t="e">
        <f>IF(AND('Mapa final'!#REF!="Baja",'Mapa final'!#REF!="Catastrófico"),CONCATENATE("R7C",'Mapa final'!#REF!),"")</f>
        <v>#REF!</v>
      </c>
      <c r="AJ42" s="42" t="e">
        <f>IF(AND('Mapa final'!#REF!="Baja",'Mapa final'!#REF!="Catastrófico"),CONCATENATE("R7C",'Mapa final'!#REF!),"")</f>
        <v>#REF!</v>
      </c>
      <c r="AK42" s="42" t="e">
        <f>IF(AND('Mapa final'!#REF!="Baja",'Mapa final'!#REF!="Catastrófico"),CONCATENATE("R7C",'Mapa final'!#REF!),"")</f>
        <v>#REF!</v>
      </c>
      <c r="AL42" s="42" t="e">
        <f>IF(AND('Mapa final'!#REF!="Baja",'Mapa final'!#REF!="Catastrófico"),CONCATENATE("R7C",'Mapa final'!#REF!),"")</f>
        <v>#REF!</v>
      </c>
      <c r="AM42" s="43" t="e">
        <f>IF(AND('Mapa final'!#REF!="Baja",'Mapa final'!#REF!="Catastrófico"),CONCATENATE("R7C",'Mapa final'!#REF!),"")</f>
        <v>#REF!</v>
      </c>
      <c r="AN42" s="69"/>
      <c r="AO42" s="374"/>
      <c r="AP42" s="375"/>
      <c r="AQ42" s="375"/>
      <c r="AR42" s="375"/>
      <c r="AS42" s="375"/>
      <c r="AT42" s="376"/>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row>
    <row r="43" spans="1:80" ht="15" customHeight="1" x14ac:dyDescent="0.25">
      <c r="A43" s="69"/>
      <c r="B43" s="302"/>
      <c r="C43" s="302"/>
      <c r="D43" s="303"/>
      <c r="E43" s="343"/>
      <c r="F43" s="344"/>
      <c r="G43" s="344"/>
      <c r="H43" s="344"/>
      <c r="I43" s="344"/>
      <c r="J43" s="62" t="e">
        <f>IF(AND('Mapa final'!#REF!="Baja",'Mapa final'!#REF!="Leve"),CONCATENATE("R8C",'Mapa final'!#REF!),"")</f>
        <v>#REF!</v>
      </c>
      <c r="K43" s="63" t="e">
        <f>IF(AND('Mapa final'!#REF!="Baja",'Mapa final'!#REF!="Leve"),CONCATENATE("R8C",'Mapa final'!#REF!),"")</f>
        <v>#REF!</v>
      </c>
      <c r="L43" s="63" t="e">
        <f>IF(AND('Mapa final'!#REF!="Baja",'Mapa final'!#REF!="Leve"),CONCATENATE("R8C",'Mapa final'!#REF!),"")</f>
        <v>#REF!</v>
      </c>
      <c r="M43" s="63" t="e">
        <f>IF(AND('Mapa final'!#REF!="Baja",'Mapa final'!#REF!="Leve"),CONCATENATE("R8C",'Mapa final'!#REF!),"")</f>
        <v>#REF!</v>
      </c>
      <c r="N43" s="63" t="e">
        <f>IF(AND('Mapa final'!#REF!="Baja",'Mapa final'!#REF!="Leve"),CONCATENATE("R8C",'Mapa final'!#REF!),"")</f>
        <v>#REF!</v>
      </c>
      <c r="O43" s="64" t="e">
        <f>IF(AND('Mapa final'!#REF!="Baja",'Mapa final'!#REF!="Leve"),CONCATENATE("R8C",'Mapa final'!#REF!),"")</f>
        <v>#REF!</v>
      </c>
      <c r="P43" s="53" t="e">
        <f>IF(AND('Mapa final'!#REF!="Baja",'Mapa final'!#REF!="Menor"),CONCATENATE("R8C",'Mapa final'!#REF!),"")</f>
        <v>#REF!</v>
      </c>
      <c r="Q43" s="54" t="e">
        <f>IF(AND('Mapa final'!#REF!="Baja",'Mapa final'!#REF!="Menor"),CONCATENATE("R8C",'Mapa final'!#REF!),"")</f>
        <v>#REF!</v>
      </c>
      <c r="R43" s="54" t="e">
        <f>IF(AND('Mapa final'!#REF!="Baja",'Mapa final'!#REF!="Menor"),CONCATENATE("R8C",'Mapa final'!#REF!),"")</f>
        <v>#REF!</v>
      </c>
      <c r="S43" s="54" t="e">
        <f>IF(AND('Mapa final'!#REF!="Baja",'Mapa final'!#REF!="Menor"),CONCATENATE("R8C",'Mapa final'!#REF!),"")</f>
        <v>#REF!</v>
      </c>
      <c r="T43" s="54" t="e">
        <f>IF(AND('Mapa final'!#REF!="Baja",'Mapa final'!#REF!="Menor"),CONCATENATE("R8C",'Mapa final'!#REF!),"")</f>
        <v>#REF!</v>
      </c>
      <c r="U43" s="55" t="e">
        <f>IF(AND('Mapa final'!#REF!="Baja",'Mapa final'!#REF!="Menor"),CONCATENATE("R8C",'Mapa final'!#REF!),"")</f>
        <v>#REF!</v>
      </c>
      <c r="V43" s="53" t="e">
        <f>IF(AND('Mapa final'!#REF!="Baja",'Mapa final'!#REF!="Moderado"),CONCATENATE("R8C",'Mapa final'!#REF!),"")</f>
        <v>#REF!</v>
      </c>
      <c r="W43" s="54" t="e">
        <f>IF(AND('Mapa final'!#REF!="Baja",'Mapa final'!#REF!="Moderado"),CONCATENATE("R8C",'Mapa final'!#REF!),"")</f>
        <v>#REF!</v>
      </c>
      <c r="X43" s="54" t="e">
        <f>IF(AND('Mapa final'!#REF!="Baja",'Mapa final'!#REF!="Moderado"),CONCATENATE("R8C",'Mapa final'!#REF!),"")</f>
        <v>#REF!</v>
      </c>
      <c r="Y43" s="54" t="e">
        <f>IF(AND('Mapa final'!#REF!="Baja",'Mapa final'!#REF!="Moderado"),CONCATENATE("R8C",'Mapa final'!#REF!),"")</f>
        <v>#REF!</v>
      </c>
      <c r="Z43" s="54" t="e">
        <f>IF(AND('Mapa final'!#REF!="Baja",'Mapa final'!#REF!="Moderado"),CONCATENATE("R8C",'Mapa final'!#REF!),"")</f>
        <v>#REF!</v>
      </c>
      <c r="AA43" s="55" t="e">
        <f>IF(AND('Mapa final'!#REF!="Baja",'Mapa final'!#REF!="Moderado"),CONCATENATE("R8C",'Mapa final'!#REF!),"")</f>
        <v>#REF!</v>
      </c>
      <c r="AB43" s="38" t="e">
        <f>IF(AND('Mapa final'!#REF!="Baja",'Mapa final'!#REF!="Mayor"),CONCATENATE("R8C",'Mapa final'!#REF!),"")</f>
        <v>#REF!</v>
      </c>
      <c r="AC43" s="39" t="e">
        <f>IF(AND('Mapa final'!#REF!="Baja",'Mapa final'!#REF!="Mayor"),CONCATENATE("R8C",'Mapa final'!#REF!),"")</f>
        <v>#REF!</v>
      </c>
      <c r="AD43" s="39" t="e">
        <f>IF(AND('Mapa final'!#REF!="Baja",'Mapa final'!#REF!="Mayor"),CONCATENATE("R8C",'Mapa final'!#REF!),"")</f>
        <v>#REF!</v>
      </c>
      <c r="AE43" s="39" t="e">
        <f>IF(AND('Mapa final'!#REF!="Baja",'Mapa final'!#REF!="Mayor"),CONCATENATE("R8C",'Mapa final'!#REF!),"")</f>
        <v>#REF!</v>
      </c>
      <c r="AF43" s="39" t="e">
        <f>IF(AND('Mapa final'!#REF!="Baja",'Mapa final'!#REF!="Mayor"),CONCATENATE("R8C",'Mapa final'!#REF!),"")</f>
        <v>#REF!</v>
      </c>
      <c r="AG43" s="40" t="e">
        <f>IF(AND('Mapa final'!#REF!="Baja",'Mapa final'!#REF!="Mayor"),CONCATENATE("R8C",'Mapa final'!#REF!),"")</f>
        <v>#REF!</v>
      </c>
      <c r="AH43" s="41" t="e">
        <f>IF(AND('Mapa final'!#REF!="Baja",'Mapa final'!#REF!="Catastrófico"),CONCATENATE("R8C",'Mapa final'!#REF!),"")</f>
        <v>#REF!</v>
      </c>
      <c r="AI43" s="42" t="e">
        <f>IF(AND('Mapa final'!#REF!="Baja",'Mapa final'!#REF!="Catastrófico"),CONCATENATE("R8C",'Mapa final'!#REF!),"")</f>
        <v>#REF!</v>
      </c>
      <c r="AJ43" s="42" t="e">
        <f>IF(AND('Mapa final'!#REF!="Baja",'Mapa final'!#REF!="Catastrófico"),CONCATENATE("R8C",'Mapa final'!#REF!),"")</f>
        <v>#REF!</v>
      </c>
      <c r="AK43" s="42" t="e">
        <f>IF(AND('Mapa final'!#REF!="Baja",'Mapa final'!#REF!="Catastrófico"),CONCATENATE("R8C",'Mapa final'!#REF!),"")</f>
        <v>#REF!</v>
      </c>
      <c r="AL43" s="42" t="e">
        <f>IF(AND('Mapa final'!#REF!="Baja",'Mapa final'!#REF!="Catastrófico"),CONCATENATE("R8C",'Mapa final'!#REF!),"")</f>
        <v>#REF!</v>
      </c>
      <c r="AM43" s="43" t="e">
        <f>IF(AND('Mapa final'!#REF!="Baja",'Mapa final'!#REF!="Catastrófico"),CONCATENATE("R8C",'Mapa final'!#REF!),"")</f>
        <v>#REF!</v>
      </c>
      <c r="AN43" s="69"/>
      <c r="AO43" s="374"/>
      <c r="AP43" s="375"/>
      <c r="AQ43" s="375"/>
      <c r="AR43" s="375"/>
      <c r="AS43" s="375"/>
      <c r="AT43" s="376"/>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row>
    <row r="44" spans="1:80" ht="15" customHeight="1" x14ac:dyDescent="0.25">
      <c r="A44" s="69"/>
      <c r="B44" s="302"/>
      <c r="C44" s="302"/>
      <c r="D44" s="303"/>
      <c r="E44" s="343"/>
      <c r="F44" s="344"/>
      <c r="G44" s="344"/>
      <c r="H44" s="344"/>
      <c r="I44" s="344"/>
      <c r="J44" s="62" t="e">
        <f>IF(AND('Mapa final'!#REF!="Baja",'Mapa final'!#REF!="Leve"),CONCATENATE("R9C",'Mapa final'!#REF!),"")</f>
        <v>#REF!</v>
      </c>
      <c r="K44" s="63" t="e">
        <f>IF(AND('Mapa final'!#REF!="Baja",'Mapa final'!#REF!="Leve"),CONCATENATE("R9C",'Mapa final'!#REF!),"")</f>
        <v>#REF!</v>
      </c>
      <c r="L44" s="63" t="e">
        <f>IF(AND('Mapa final'!#REF!="Baja",'Mapa final'!#REF!="Leve"),CONCATENATE("R9C",'Mapa final'!#REF!),"")</f>
        <v>#REF!</v>
      </c>
      <c r="M44" s="63" t="e">
        <f>IF(AND('Mapa final'!#REF!="Baja",'Mapa final'!#REF!="Leve"),CONCATENATE("R9C",'Mapa final'!#REF!),"")</f>
        <v>#REF!</v>
      </c>
      <c r="N44" s="63" t="e">
        <f>IF(AND('Mapa final'!#REF!="Baja",'Mapa final'!#REF!="Leve"),CONCATENATE("R9C",'Mapa final'!#REF!),"")</f>
        <v>#REF!</v>
      </c>
      <c r="O44" s="64" t="e">
        <f>IF(AND('Mapa final'!#REF!="Baja",'Mapa final'!#REF!="Leve"),CONCATENATE("R9C",'Mapa final'!#REF!),"")</f>
        <v>#REF!</v>
      </c>
      <c r="P44" s="53" t="e">
        <f>IF(AND('Mapa final'!#REF!="Baja",'Mapa final'!#REF!="Menor"),CONCATENATE("R9C",'Mapa final'!#REF!),"")</f>
        <v>#REF!</v>
      </c>
      <c r="Q44" s="54" t="e">
        <f>IF(AND('Mapa final'!#REF!="Baja",'Mapa final'!#REF!="Menor"),CONCATENATE("R9C",'Mapa final'!#REF!),"")</f>
        <v>#REF!</v>
      </c>
      <c r="R44" s="54" t="e">
        <f>IF(AND('Mapa final'!#REF!="Baja",'Mapa final'!#REF!="Menor"),CONCATENATE("R9C",'Mapa final'!#REF!),"")</f>
        <v>#REF!</v>
      </c>
      <c r="S44" s="54" t="e">
        <f>IF(AND('Mapa final'!#REF!="Baja",'Mapa final'!#REF!="Menor"),CONCATENATE("R9C",'Mapa final'!#REF!),"")</f>
        <v>#REF!</v>
      </c>
      <c r="T44" s="54" t="e">
        <f>IF(AND('Mapa final'!#REF!="Baja",'Mapa final'!#REF!="Menor"),CONCATENATE("R9C",'Mapa final'!#REF!),"")</f>
        <v>#REF!</v>
      </c>
      <c r="U44" s="55" t="e">
        <f>IF(AND('Mapa final'!#REF!="Baja",'Mapa final'!#REF!="Menor"),CONCATENATE("R9C",'Mapa final'!#REF!),"")</f>
        <v>#REF!</v>
      </c>
      <c r="V44" s="53" t="e">
        <f>IF(AND('Mapa final'!#REF!="Baja",'Mapa final'!#REF!="Moderado"),CONCATENATE("R9C",'Mapa final'!#REF!),"")</f>
        <v>#REF!</v>
      </c>
      <c r="W44" s="54" t="e">
        <f>IF(AND('Mapa final'!#REF!="Baja",'Mapa final'!#REF!="Moderado"),CONCATENATE("R9C",'Mapa final'!#REF!),"")</f>
        <v>#REF!</v>
      </c>
      <c r="X44" s="54" t="e">
        <f>IF(AND('Mapa final'!#REF!="Baja",'Mapa final'!#REF!="Moderado"),CONCATENATE("R9C",'Mapa final'!#REF!),"")</f>
        <v>#REF!</v>
      </c>
      <c r="Y44" s="54" t="e">
        <f>IF(AND('Mapa final'!#REF!="Baja",'Mapa final'!#REF!="Moderado"),CONCATENATE("R9C",'Mapa final'!#REF!),"")</f>
        <v>#REF!</v>
      </c>
      <c r="Z44" s="54" t="e">
        <f>IF(AND('Mapa final'!#REF!="Baja",'Mapa final'!#REF!="Moderado"),CONCATENATE("R9C",'Mapa final'!#REF!),"")</f>
        <v>#REF!</v>
      </c>
      <c r="AA44" s="55" t="e">
        <f>IF(AND('Mapa final'!#REF!="Baja",'Mapa final'!#REF!="Moderado"),CONCATENATE("R9C",'Mapa final'!#REF!),"")</f>
        <v>#REF!</v>
      </c>
      <c r="AB44" s="38" t="e">
        <f>IF(AND('Mapa final'!#REF!="Baja",'Mapa final'!#REF!="Mayor"),CONCATENATE("R9C",'Mapa final'!#REF!),"")</f>
        <v>#REF!</v>
      </c>
      <c r="AC44" s="39" t="e">
        <f>IF(AND('Mapa final'!#REF!="Baja",'Mapa final'!#REF!="Mayor"),CONCATENATE("R9C",'Mapa final'!#REF!),"")</f>
        <v>#REF!</v>
      </c>
      <c r="AD44" s="39" t="e">
        <f>IF(AND('Mapa final'!#REF!="Baja",'Mapa final'!#REF!="Mayor"),CONCATENATE("R9C",'Mapa final'!#REF!),"")</f>
        <v>#REF!</v>
      </c>
      <c r="AE44" s="39" t="e">
        <f>IF(AND('Mapa final'!#REF!="Baja",'Mapa final'!#REF!="Mayor"),CONCATENATE("R9C",'Mapa final'!#REF!),"")</f>
        <v>#REF!</v>
      </c>
      <c r="AF44" s="39" t="e">
        <f>IF(AND('Mapa final'!#REF!="Baja",'Mapa final'!#REF!="Mayor"),CONCATENATE("R9C",'Mapa final'!#REF!),"")</f>
        <v>#REF!</v>
      </c>
      <c r="AG44" s="40" t="e">
        <f>IF(AND('Mapa final'!#REF!="Baja",'Mapa final'!#REF!="Mayor"),CONCATENATE("R9C",'Mapa final'!#REF!),"")</f>
        <v>#REF!</v>
      </c>
      <c r="AH44" s="41" t="e">
        <f>IF(AND('Mapa final'!#REF!="Baja",'Mapa final'!#REF!="Catastrófico"),CONCATENATE("R9C",'Mapa final'!#REF!),"")</f>
        <v>#REF!</v>
      </c>
      <c r="AI44" s="42" t="e">
        <f>IF(AND('Mapa final'!#REF!="Baja",'Mapa final'!#REF!="Catastrófico"),CONCATENATE("R9C",'Mapa final'!#REF!),"")</f>
        <v>#REF!</v>
      </c>
      <c r="AJ44" s="42" t="e">
        <f>IF(AND('Mapa final'!#REF!="Baja",'Mapa final'!#REF!="Catastrófico"),CONCATENATE("R9C",'Mapa final'!#REF!),"")</f>
        <v>#REF!</v>
      </c>
      <c r="AK44" s="42" t="e">
        <f>IF(AND('Mapa final'!#REF!="Baja",'Mapa final'!#REF!="Catastrófico"),CONCATENATE("R9C",'Mapa final'!#REF!),"")</f>
        <v>#REF!</v>
      </c>
      <c r="AL44" s="42" t="e">
        <f>IF(AND('Mapa final'!#REF!="Baja",'Mapa final'!#REF!="Catastrófico"),CONCATENATE("R9C",'Mapa final'!#REF!),"")</f>
        <v>#REF!</v>
      </c>
      <c r="AM44" s="43" t="e">
        <f>IF(AND('Mapa final'!#REF!="Baja",'Mapa final'!#REF!="Catastrófico"),CONCATENATE("R9C",'Mapa final'!#REF!),"")</f>
        <v>#REF!</v>
      </c>
      <c r="AN44" s="69"/>
      <c r="AO44" s="374"/>
      <c r="AP44" s="375"/>
      <c r="AQ44" s="375"/>
      <c r="AR44" s="375"/>
      <c r="AS44" s="375"/>
      <c r="AT44" s="376"/>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row>
    <row r="45" spans="1:80" ht="15.75" customHeight="1" thickBot="1" x14ac:dyDescent="0.3">
      <c r="A45" s="69"/>
      <c r="B45" s="302"/>
      <c r="C45" s="302"/>
      <c r="D45" s="303"/>
      <c r="E45" s="346"/>
      <c r="F45" s="347"/>
      <c r="G45" s="347"/>
      <c r="H45" s="347"/>
      <c r="I45" s="347"/>
      <c r="J45" s="65" t="e">
        <f>IF(AND('Mapa final'!#REF!="Baja",'Mapa final'!#REF!="Leve"),CONCATENATE("R10C",'Mapa final'!#REF!),"")</f>
        <v>#REF!</v>
      </c>
      <c r="K45" s="66" t="e">
        <f>IF(AND('Mapa final'!#REF!="Baja",'Mapa final'!#REF!="Leve"),CONCATENATE("R10C",'Mapa final'!#REF!),"")</f>
        <v>#REF!</v>
      </c>
      <c r="L45" s="66" t="e">
        <f>IF(AND('Mapa final'!#REF!="Baja",'Mapa final'!#REF!="Leve"),CONCATENATE("R10C",'Mapa final'!#REF!),"")</f>
        <v>#REF!</v>
      </c>
      <c r="M45" s="66" t="e">
        <f>IF(AND('Mapa final'!#REF!="Baja",'Mapa final'!#REF!="Leve"),CONCATENATE("R10C",'Mapa final'!#REF!),"")</f>
        <v>#REF!</v>
      </c>
      <c r="N45" s="66" t="e">
        <f>IF(AND('Mapa final'!#REF!="Baja",'Mapa final'!#REF!="Leve"),CONCATENATE("R10C",'Mapa final'!#REF!),"")</f>
        <v>#REF!</v>
      </c>
      <c r="O45" s="67" t="e">
        <f>IF(AND('Mapa final'!#REF!="Baja",'Mapa final'!#REF!="Leve"),CONCATENATE("R10C",'Mapa final'!#REF!),"")</f>
        <v>#REF!</v>
      </c>
      <c r="P45" s="53" t="e">
        <f>IF(AND('Mapa final'!#REF!="Baja",'Mapa final'!#REF!="Menor"),CONCATENATE("R10C",'Mapa final'!#REF!),"")</f>
        <v>#REF!</v>
      </c>
      <c r="Q45" s="54" t="e">
        <f>IF(AND('Mapa final'!#REF!="Baja",'Mapa final'!#REF!="Menor"),CONCATENATE("R10C",'Mapa final'!#REF!),"")</f>
        <v>#REF!</v>
      </c>
      <c r="R45" s="54" t="e">
        <f>IF(AND('Mapa final'!#REF!="Baja",'Mapa final'!#REF!="Menor"),CONCATENATE("R10C",'Mapa final'!#REF!),"")</f>
        <v>#REF!</v>
      </c>
      <c r="S45" s="54" t="e">
        <f>IF(AND('Mapa final'!#REF!="Baja",'Mapa final'!#REF!="Menor"),CONCATENATE("R10C",'Mapa final'!#REF!),"")</f>
        <v>#REF!</v>
      </c>
      <c r="T45" s="54" t="e">
        <f>IF(AND('Mapa final'!#REF!="Baja",'Mapa final'!#REF!="Menor"),CONCATENATE("R10C",'Mapa final'!#REF!),"")</f>
        <v>#REF!</v>
      </c>
      <c r="U45" s="55" t="e">
        <f>IF(AND('Mapa final'!#REF!="Baja",'Mapa final'!#REF!="Menor"),CONCATENATE("R10C",'Mapa final'!#REF!),"")</f>
        <v>#REF!</v>
      </c>
      <c r="V45" s="56" t="e">
        <f>IF(AND('Mapa final'!#REF!="Baja",'Mapa final'!#REF!="Moderado"),CONCATENATE("R10C",'Mapa final'!#REF!),"")</f>
        <v>#REF!</v>
      </c>
      <c r="W45" s="57" t="e">
        <f>IF(AND('Mapa final'!#REF!="Baja",'Mapa final'!#REF!="Moderado"),CONCATENATE("R10C",'Mapa final'!#REF!),"")</f>
        <v>#REF!</v>
      </c>
      <c r="X45" s="57" t="e">
        <f>IF(AND('Mapa final'!#REF!="Baja",'Mapa final'!#REF!="Moderado"),CONCATENATE("R10C",'Mapa final'!#REF!),"")</f>
        <v>#REF!</v>
      </c>
      <c r="Y45" s="57" t="e">
        <f>IF(AND('Mapa final'!#REF!="Baja",'Mapa final'!#REF!="Moderado"),CONCATENATE("R10C",'Mapa final'!#REF!),"")</f>
        <v>#REF!</v>
      </c>
      <c r="Z45" s="57" t="e">
        <f>IF(AND('Mapa final'!#REF!="Baja",'Mapa final'!#REF!="Moderado"),CONCATENATE("R10C",'Mapa final'!#REF!),"")</f>
        <v>#REF!</v>
      </c>
      <c r="AA45" s="58" t="e">
        <f>IF(AND('Mapa final'!#REF!="Baja",'Mapa final'!#REF!="Moderado"),CONCATENATE("R10C",'Mapa final'!#REF!),"")</f>
        <v>#REF!</v>
      </c>
      <c r="AB45" s="44" t="e">
        <f>IF(AND('Mapa final'!#REF!="Baja",'Mapa final'!#REF!="Mayor"),CONCATENATE("R10C",'Mapa final'!#REF!),"")</f>
        <v>#REF!</v>
      </c>
      <c r="AC45" s="45" t="e">
        <f>IF(AND('Mapa final'!#REF!="Baja",'Mapa final'!#REF!="Mayor"),CONCATENATE("R10C",'Mapa final'!#REF!),"")</f>
        <v>#REF!</v>
      </c>
      <c r="AD45" s="45" t="e">
        <f>IF(AND('Mapa final'!#REF!="Baja",'Mapa final'!#REF!="Mayor"),CONCATENATE("R10C",'Mapa final'!#REF!),"")</f>
        <v>#REF!</v>
      </c>
      <c r="AE45" s="45" t="e">
        <f>IF(AND('Mapa final'!#REF!="Baja",'Mapa final'!#REF!="Mayor"),CONCATENATE("R10C",'Mapa final'!#REF!),"")</f>
        <v>#REF!</v>
      </c>
      <c r="AF45" s="45" t="e">
        <f>IF(AND('Mapa final'!#REF!="Baja",'Mapa final'!#REF!="Mayor"),CONCATENATE("R10C",'Mapa final'!#REF!),"")</f>
        <v>#REF!</v>
      </c>
      <c r="AG45" s="46" t="e">
        <f>IF(AND('Mapa final'!#REF!="Baja",'Mapa final'!#REF!="Mayor"),CONCATENATE("R10C",'Mapa final'!#REF!),"")</f>
        <v>#REF!</v>
      </c>
      <c r="AH45" s="47" t="e">
        <f>IF(AND('Mapa final'!#REF!="Baja",'Mapa final'!#REF!="Catastrófico"),CONCATENATE("R10C",'Mapa final'!#REF!),"")</f>
        <v>#REF!</v>
      </c>
      <c r="AI45" s="48" t="e">
        <f>IF(AND('Mapa final'!#REF!="Baja",'Mapa final'!#REF!="Catastrófico"),CONCATENATE("R10C",'Mapa final'!#REF!),"")</f>
        <v>#REF!</v>
      </c>
      <c r="AJ45" s="48" t="e">
        <f>IF(AND('Mapa final'!#REF!="Baja",'Mapa final'!#REF!="Catastrófico"),CONCATENATE("R10C",'Mapa final'!#REF!),"")</f>
        <v>#REF!</v>
      </c>
      <c r="AK45" s="48" t="e">
        <f>IF(AND('Mapa final'!#REF!="Baja",'Mapa final'!#REF!="Catastrófico"),CONCATENATE("R10C",'Mapa final'!#REF!),"")</f>
        <v>#REF!</v>
      </c>
      <c r="AL45" s="48" t="e">
        <f>IF(AND('Mapa final'!#REF!="Baja",'Mapa final'!#REF!="Catastrófico"),CONCATENATE("R10C",'Mapa final'!#REF!),"")</f>
        <v>#REF!</v>
      </c>
      <c r="AM45" s="49" t="e">
        <f>IF(AND('Mapa final'!#REF!="Baja",'Mapa final'!#REF!="Catastrófico"),CONCATENATE("R10C",'Mapa final'!#REF!),"")</f>
        <v>#REF!</v>
      </c>
      <c r="AN45" s="69"/>
      <c r="AO45" s="377"/>
      <c r="AP45" s="378"/>
      <c r="AQ45" s="378"/>
      <c r="AR45" s="378"/>
      <c r="AS45" s="378"/>
      <c r="AT45" s="379"/>
    </row>
    <row r="46" spans="1:80" ht="46.5" customHeight="1" x14ac:dyDescent="0.35">
      <c r="A46" s="69"/>
      <c r="B46" s="302"/>
      <c r="C46" s="302"/>
      <c r="D46" s="303"/>
      <c r="E46" s="340" t="s">
        <v>112</v>
      </c>
      <c r="F46" s="341"/>
      <c r="G46" s="341"/>
      <c r="H46" s="341"/>
      <c r="I46" s="342"/>
      <c r="J46" s="59" t="e">
        <f>IF(AND('Mapa final'!#REF!="Muy Baja",'Mapa final'!#REF!="Leve"),CONCATENATE("R1C",'Mapa final'!#REF!),"")</f>
        <v>#REF!</v>
      </c>
      <c r="K46" s="60" t="e">
        <f>IF(AND('Mapa final'!#REF!="Muy Baja",'Mapa final'!#REF!="Leve"),CONCATENATE("R1C",'Mapa final'!#REF!),"")</f>
        <v>#REF!</v>
      </c>
      <c r="L46" s="60" t="e">
        <f>IF(AND('Mapa final'!#REF!="Muy Baja",'Mapa final'!#REF!="Leve"),CONCATENATE("R1C",'Mapa final'!#REF!),"")</f>
        <v>#REF!</v>
      </c>
      <c r="M46" s="60" t="e">
        <f>IF(AND('Mapa final'!#REF!="Muy Baja",'Mapa final'!#REF!="Leve"),CONCATENATE("R1C",'Mapa final'!#REF!),"")</f>
        <v>#REF!</v>
      </c>
      <c r="N46" s="60" t="e">
        <f>IF(AND('Mapa final'!#REF!="Muy Baja",'Mapa final'!#REF!="Leve"),CONCATENATE("R1C",'Mapa final'!#REF!),"")</f>
        <v>#REF!</v>
      </c>
      <c r="O46" s="61" t="e">
        <f>IF(AND('Mapa final'!#REF!="Muy Baja",'Mapa final'!#REF!="Leve"),CONCATENATE("R1C",'Mapa final'!#REF!),"")</f>
        <v>#REF!</v>
      </c>
      <c r="P46" s="59" t="e">
        <f>IF(AND('Mapa final'!#REF!="Muy Baja",'Mapa final'!#REF!="Menor"),CONCATENATE("R1C",'Mapa final'!#REF!),"")</f>
        <v>#REF!</v>
      </c>
      <c r="Q46" s="60" t="e">
        <f>IF(AND('Mapa final'!#REF!="Muy Baja",'Mapa final'!#REF!="Menor"),CONCATENATE("R1C",'Mapa final'!#REF!),"")</f>
        <v>#REF!</v>
      </c>
      <c r="R46" s="60" t="e">
        <f>IF(AND('Mapa final'!#REF!="Muy Baja",'Mapa final'!#REF!="Menor"),CONCATENATE("R1C",'Mapa final'!#REF!),"")</f>
        <v>#REF!</v>
      </c>
      <c r="S46" s="60" t="e">
        <f>IF(AND('Mapa final'!#REF!="Muy Baja",'Mapa final'!#REF!="Menor"),CONCATENATE("R1C",'Mapa final'!#REF!),"")</f>
        <v>#REF!</v>
      </c>
      <c r="T46" s="60" t="e">
        <f>IF(AND('Mapa final'!#REF!="Muy Baja",'Mapa final'!#REF!="Menor"),CONCATENATE("R1C",'Mapa final'!#REF!),"")</f>
        <v>#REF!</v>
      </c>
      <c r="U46" s="61" t="e">
        <f>IF(AND('Mapa final'!#REF!="Muy Baja",'Mapa final'!#REF!="Menor"),CONCATENATE("R1C",'Mapa final'!#REF!),"")</f>
        <v>#REF!</v>
      </c>
      <c r="V46" s="50" t="e">
        <f>IF(AND('Mapa final'!#REF!="Muy Baja",'Mapa final'!#REF!="Moderado"),CONCATENATE("R1C",'Mapa final'!#REF!),"")</f>
        <v>#REF!</v>
      </c>
      <c r="W46" s="68" t="e">
        <f>IF(AND('Mapa final'!#REF!="Muy Baja",'Mapa final'!#REF!="Moderado"),CONCATENATE("R1C",'Mapa final'!#REF!),"")</f>
        <v>#REF!</v>
      </c>
      <c r="X46" s="51" t="e">
        <f>IF(AND('Mapa final'!#REF!="Muy Baja",'Mapa final'!#REF!="Moderado"),CONCATENATE("R1C",'Mapa final'!#REF!),"")</f>
        <v>#REF!</v>
      </c>
      <c r="Y46" s="51" t="e">
        <f>IF(AND('Mapa final'!#REF!="Muy Baja",'Mapa final'!#REF!="Moderado"),CONCATENATE("R1C",'Mapa final'!#REF!),"")</f>
        <v>#REF!</v>
      </c>
      <c r="Z46" s="51" t="e">
        <f>IF(AND('Mapa final'!#REF!="Muy Baja",'Mapa final'!#REF!="Moderado"),CONCATENATE("R1C",'Mapa final'!#REF!),"")</f>
        <v>#REF!</v>
      </c>
      <c r="AA46" s="52" t="e">
        <f>IF(AND('Mapa final'!#REF!="Muy Baja",'Mapa final'!#REF!="Moderado"),CONCATENATE("R1C",'Mapa final'!#REF!),"")</f>
        <v>#REF!</v>
      </c>
      <c r="AB46" s="32" t="e">
        <f>IF(AND('Mapa final'!#REF!="Muy Baja",'Mapa final'!#REF!="Mayor"),CONCATENATE("R1C",'Mapa final'!#REF!),"")</f>
        <v>#REF!</v>
      </c>
      <c r="AC46" s="33" t="e">
        <f>IF(AND('Mapa final'!#REF!="Muy Baja",'Mapa final'!#REF!="Mayor"),CONCATENATE("R1C",'Mapa final'!#REF!),"")</f>
        <v>#REF!</v>
      </c>
      <c r="AD46" s="33" t="e">
        <f>IF(AND('Mapa final'!#REF!="Muy Baja",'Mapa final'!#REF!="Mayor"),CONCATENATE("R1C",'Mapa final'!#REF!),"")</f>
        <v>#REF!</v>
      </c>
      <c r="AE46" s="33" t="e">
        <f>IF(AND('Mapa final'!#REF!="Muy Baja",'Mapa final'!#REF!="Mayor"),CONCATENATE("R1C",'Mapa final'!#REF!),"")</f>
        <v>#REF!</v>
      </c>
      <c r="AF46" s="33" t="e">
        <f>IF(AND('Mapa final'!#REF!="Muy Baja",'Mapa final'!#REF!="Mayor"),CONCATENATE("R1C",'Mapa final'!#REF!),"")</f>
        <v>#REF!</v>
      </c>
      <c r="AG46" s="34" t="e">
        <f>IF(AND('Mapa final'!#REF!="Muy Baja",'Mapa final'!#REF!="Mayor"),CONCATENATE("R1C",'Mapa final'!#REF!),"")</f>
        <v>#REF!</v>
      </c>
      <c r="AH46" s="35" t="e">
        <f>IF(AND('Mapa final'!#REF!="Muy Baja",'Mapa final'!#REF!="Catastrófico"),CONCATENATE("R1C",'Mapa final'!#REF!),"")</f>
        <v>#REF!</v>
      </c>
      <c r="AI46" s="36" t="e">
        <f>IF(AND('Mapa final'!#REF!="Muy Baja",'Mapa final'!#REF!="Catastrófico"),CONCATENATE("R1C",'Mapa final'!#REF!),"")</f>
        <v>#REF!</v>
      </c>
      <c r="AJ46" s="36" t="e">
        <f>IF(AND('Mapa final'!#REF!="Muy Baja",'Mapa final'!#REF!="Catastrófico"),CONCATENATE("R1C",'Mapa final'!#REF!),"")</f>
        <v>#REF!</v>
      </c>
      <c r="AK46" s="36" t="e">
        <f>IF(AND('Mapa final'!#REF!="Muy Baja",'Mapa final'!#REF!="Catastrófico"),CONCATENATE("R1C",'Mapa final'!#REF!),"")</f>
        <v>#REF!</v>
      </c>
      <c r="AL46" s="36" t="e">
        <f>IF(AND('Mapa final'!#REF!="Muy Baja",'Mapa final'!#REF!="Catastrófico"),CONCATENATE("R1C",'Mapa final'!#REF!),"")</f>
        <v>#REF!</v>
      </c>
      <c r="AM46" s="37" t="e">
        <f>IF(AND('Mapa final'!#REF!="Muy Baja",'Mapa final'!#REF!="Catastrófico"),CONCATENATE("R1C",'Mapa final'!#REF!),"")</f>
        <v>#REF!</v>
      </c>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ht="46.5" customHeight="1" x14ac:dyDescent="0.25">
      <c r="A47" s="69"/>
      <c r="B47" s="302"/>
      <c r="C47" s="302"/>
      <c r="D47" s="303"/>
      <c r="E47" s="359"/>
      <c r="F47" s="344"/>
      <c r="G47" s="344"/>
      <c r="H47" s="344"/>
      <c r="I47" s="345"/>
      <c r="J47" s="62" t="str">
        <f>IF(AND('Mapa final'!$AD$13="Muy Baja",'Mapa final'!$AF$13="Leve"),CONCATENATE("R2C",'Mapa final'!$S$13),"")</f>
        <v/>
      </c>
      <c r="K47" s="63" t="str">
        <f>IF(AND('Mapa final'!$AD$17="Muy Baja",'Mapa final'!$AF$17="Leve"),CONCATENATE("R2C",'Mapa final'!$S$17),"")</f>
        <v/>
      </c>
      <c r="L47" s="63" t="e">
        <f>IF(AND('Mapa final'!#REF!="Muy Baja",'Mapa final'!#REF!="Leve"),CONCATENATE("R2C",'Mapa final'!#REF!),"")</f>
        <v>#REF!</v>
      </c>
      <c r="M47" s="63" t="e">
        <f>IF(AND('Mapa final'!#REF!="Muy Baja",'Mapa final'!#REF!="Leve"),CONCATENATE("R2C",'Mapa final'!#REF!),"")</f>
        <v>#REF!</v>
      </c>
      <c r="N47" s="63" t="e">
        <f>IF(AND('Mapa final'!#REF!="Muy Baja",'Mapa final'!#REF!="Leve"),CONCATENATE("R2C",'Mapa final'!#REF!),"")</f>
        <v>#REF!</v>
      </c>
      <c r="O47" s="64" t="e">
        <f>IF(AND('Mapa final'!#REF!="Muy Baja",'Mapa final'!#REF!="Leve"),CONCATENATE("R2C",'Mapa final'!#REF!),"")</f>
        <v>#REF!</v>
      </c>
      <c r="P47" s="62" t="str">
        <f>IF(AND('Mapa final'!$AD$13="Muy Baja",'Mapa final'!$AF$13="Menor"),CONCATENATE("R2C",'Mapa final'!$S$13),"")</f>
        <v/>
      </c>
      <c r="Q47" s="63" t="str">
        <f>IF(AND('Mapa final'!$AD$17="Muy Baja",'Mapa final'!$AF$17="Menor"),CONCATENATE("R2C",'Mapa final'!$S$17),"")</f>
        <v/>
      </c>
      <c r="R47" s="63" t="e">
        <f>IF(AND('Mapa final'!#REF!="Muy Baja",'Mapa final'!#REF!="Menor"),CONCATENATE("R2C",'Mapa final'!#REF!),"")</f>
        <v>#REF!</v>
      </c>
      <c r="S47" s="63" t="e">
        <f>IF(AND('Mapa final'!#REF!="Muy Baja",'Mapa final'!#REF!="Menor"),CONCATENATE("R2C",'Mapa final'!#REF!),"")</f>
        <v>#REF!</v>
      </c>
      <c r="T47" s="63" t="e">
        <f>IF(AND('Mapa final'!#REF!="Muy Baja",'Mapa final'!#REF!="Menor"),CONCATENATE("R2C",'Mapa final'!#REF!),"")</f>
        <v>#REF!</v>
      </c>
      <c r="U47" s="64" t="e">
        <f>IF(AND('Mapa final'!#REF!="Muy Baja",'Mapa final'!#REF!="Menor"),CONCATENATE("R2C",'Mapa final'!#REF!),"")</f>
        <v>#REF!</v>
      </c>
      <c r="V47" s="53" t="str">
        <f>IF(AND('Mapa final'!$AD$13="Muy Baja",'Mapa final'!$AF$13="Moderado"),CONCATENATE("R2C",'Mapa final'!$S$13),"")</f>
        <v>R2C1</v>
      </c>
      <c r="W47" s="54" t="str">
        <f>IF(AND('Mapa final'!$AD$17="Muy Baja",'Mapa final'!$AF$17="Moderado"),CONCATENATE("R2C",'Mapa final'!$S$17),"")</f>
        <v/>
      </c>
      <c r="X47" s="54" t="e">
        <f>IF(AND('Mapa final'!#REF!="Muy Baja",'Mapa final'!#REF!="Moderado"),CONCATENATE("R2C",'Mapa final'!#REF!),"")</f>
        <v>#REF!</v>
      </c>
      <c r="Y47" s="54" t="e">
        <f>IF(AND('Mapa final'!#REF!="Muy Baja",'Mapa final'!#REF!="Moderado"),CONCATENATE("R2C",'Mapa final'!#REF!),"")</f>
        <v>#REF!</v>
      </c>
      <c r="Z47" s="54" t="e">
        <f>IF(AND('Mapa final'!#REF!="Muy Baja",'Mapa final'!#REF!="Moderado"),CONCATENATE("R2C",'Mapa final'!#REF!),"")</f>
        <v>#REF!</v>
      </c>
      <c r="AA47" s="55" t="e">
        <f>IF(AND('Mapa final'!#REF!="Muy Baja",'Mapa final'!#REF!="Moderado"),CONCATENATE("R2C",'Mapa final'!#REF!),"")</f>
        <v>#REF!</v>
      </c>
      <c r="AB47" s="38" t="str">
        <f>IF(AND('Mapa final'!$AD$13="Muy Baja",'Mapa final'!$AF$13="Mayor"),CONCATENATE("R2C",'Mapa final'!$S$13),"")</f>
        <v/>
      </c>
      <c r="AC47" s="39" t="str">
        <f>IF(AND('Mapa final'!$AD$17="Muy Baja",'Mapa final'!$AF$17="Mayor"),CONCATENATE("R2C",'Mapa final'!$S$17),"")</f>
        <v/>
      </c>
      <c r="AD47" s="39" t="e">
        <f>IF(AND('Mapa final'!#REF!="Muy Baja",'Mapa final'!#REF!="Mayor"),CONCATENATE("R2C",'Mapa final'!#REF!),"")</f>
        <v>#REF!</v>
      </c>
      <c r="AE47" s="39" t="e">
        <f>IF(AND('Mapa final'!#REF!="Muy Baja",'Mapa final'!#REF!="Mayor"),CONCATENATE("R2C",'Mapa final'!#REF!),"")</f>
        <v>#REF!</v>
      </c>
      <c r="AF47" s="39" t="e">
        <f>IF(AND('Mapa final'!#REF!="Muy Baja",'Mapa final'!#REF!="Mayor"),CONCATENATE("R2C",'Mapa final'!#REF!),"")</f>
        <v>#REF!</v>
      </c>
      <c r="AG47" s="40" t="e">
        <f>IF(AND('Mapa final'!#REF!="Muy Baja",'Mapa final'!#REF!="Mayor"),CONCATENATE("R2C",'Mapa final'!#REF!),"")</f>
        <v>#REF!</v>
      </c>
      <c r="AH47" s="41" t="str">
        <f>IF(AND('Mapa final'!$AD$13="Muy Baja",'Mapa final'!$AF$13="Catastrófico"),CONCATENATE("R2C",'Mapa final'!$S$13),"")</f>
        <v/>
      </c>
      <c r="AI47" s="42" t="str">
        <f>IF(AND('Mapa final'!$AD$17="Muy Baja",'Mapa final'!$AF$17="Catastrófico"),CONCATENATE("R2C",'Mapa final'!$S$17),"")</f>
        <v/>
      </c>
      <c r="AJ47" s="42" t="e">
        <f>IF(AND('Mapa final'!#REF!="Muy Baja",'Mapa final'!#REF!="Catastrófico"),CONCATENATE("R2C",'Mapa final'!#REF!),"")</f>
        <v>#REF!</v>
      </c>
      <c r="AK47" s="42" t="e">
        <f>IF(AND('Mapa final'!#REF!="Muy Baja",'Mapa final'!#REF!="Catastrófico"),CONCATENATE("R2C",'Mapa final'!#REF!),"")</f>
        <v>#REF!</v>
      </c>
      <c r="AL47" s="42" t="e">
        <f>IF(AND('Mapa final'!#REF!="Muy Baja",'Mapa final'!#REF!="Catastrófico"),CONCATENATE("R2C",'Mapa final'!#REF!),"")</f>
        <v>#REF!</v>
      </c>
      <c r="AM47" s="43" t="e">
        <f>IF(AND('Mapa final'!#REF!="Muy Baja",'Mapa final'!#REF!="Catastrófico"),CONCATENATE("R2C",'Mapa final'!#REF!),"")</f>
        <v>#REF!</v>
      </c>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ht="15" customHeight="1" x14ac:dyDescent="0.25">
      <c r="A48" s="69"/>
      <c r="B48" s="302"/>
      <c r="C48" s="302"/>
      <c r="D48" s="303"/>
      <c r="E48" s="359"/>
      <c r="F48" s="344"/>
      <c r="G48" s="344"/>
      <c r="H48" s="344"/>
      <c r="I48" s="345"/>
      <c r="J48" s="62" t="e">
        <f>IF(AND('Mapa final'!#REF!="Muy Baja",'Mapa final'!#REF!="Leve"),CONCATENATE("R3C",'Mapa final'!#REF!),"")</f>
        <v>#REF!</v>
      </c>
      <c r="K48" s="63" t="e">
        <f>IF(AND('Mapa final'!#REF!="Muy Baja",'Mapa final'!#REF!="Leve"),CONCATENATE("R3C",'Mapa final'!#REF!),"")</f>
        <v>#REF!</v>
      </c>
      <c r="L48" s="63" t="e">
        <f>IF(AND('Mapa final'!#REF!="Muy Baja",'Mapa final'!#REF!="Leve"),CONCATENATE("R3C",'Mapa final'!#REF!),"")</f>
        <v>#REF!</v>
      </c>
      <c r="M48" s="63" t="e">
        <f>IF(AND('Mapa final'!#REF!="Muy Baja",'Mapa final'!#REF!="Leve"),CONCATENATE("R3C",'Mapa final'!#REF!),"")</f>
        <v>#REF!</v>
      </c>
      <c r="N48" s="63" t="e">
        <f>IF(AND('Mapa final'!#REF!="Muy Baja",'Mapa final'!#REF!="Leve"),CONCATENATE("R3C",'Mapa final'!#REF!),"")</f>
        <v>#REF!</v>
      </c>
      <c r="O48" s="64" t="e">
        <f>IF(AND('Mapa final'!#REF!="Muy Baja",'Mapa final'!#REF!="Leve"),CONCATENATE("R3C",'Mapa final'!#REF!),"")</f>
        <v>#REF!</v>
      </c>
      <c r="P48" s="62" t="e">
        <f>IF(AND('Mapa final'!#REF!="Muy Baja",'Mapa final'!#REF!="Menor"),CONCATENATE("R3C",'Mapa final'!#REF!),"")</f>
        <v>#REF!</v>
      </c>
      <c r="Q48" s="63" t="e">
        <f>IF(AND('Mapa final'!#REF!="Muy Baja",'Mapa final'!#REF!="Menor"),CONCATENATE("R3C",'Mapa final'!#REF!),"")</f>
        <v>#REF!</v>
      </c>
      <c r="R48" s="63" t="e">
        <f>IF(AND('Mapa final'!#REF!="Muy Baja",'Mapa final'!#REF!="Menor"),CONCATENATE("R3C",'Mapa final'!#REF!),"")</f>
        <v>#REF!</v>
      </c>
      <c r="S48" s="63" t="e">
        <f>IF(AND('Mapa final'!#REF!="Muy Baja",'Mapa final'!#REF!="Menor"),CONCATENATE("R3C",'Mapa final'!#REF!),"")</f>
        <v>#REF!</v>
      </c>
      <c r="T48" s="63" t="e">
        <f>IF(AND('Mapa final'!#REF!="Muy Baja",'Mapa final'!#REF!="Menor"),CONCATENATE("R3C",'Mapa final'!#REF!),"")</f>
        <v>#REF!</v>
      </c>
      <c r="U48" s="64" t="e">
        <f>IF(AND('Mapa final'!#REF!="Muy Baja",'Mapa final'!#REF!="Menor"),CONCATENATE("R3C",'Mapa final'!#REF!),"")</f>
        <v>#REF!</v>
      </c>
      <c r="V48" s="53" t="e">
        <f>IF(AND('Mapa final'!#REF!="Muy Baja",'Mapa final'!#REF!="Moderado"),CONCATENATE("R3C",'Mapa final'!#REF!),"")</f>
        <v>#REF!</v>
      </c>
      <c r="W48" s="54" t="e">
        <f>IF(AND('Mapa final'!#REF!="Muy Baja",'Mapa final'!#REF!="Moderado"),CONCATENATE("R3C",'Mapa final'!#REF!),"")</f>
        <v>#REF!</v>
      </c>
      <c r="X48" s="54" t="e">
        <f>IF(AND('Mapa final'!#REF!="Muy Baja",'Mapa final'!#REF!="Moderado"),CONCATENATE("R3C",'Mapa final'!#REF!),"")</f>
        <v>#REF!</v>
      </c>
      <c r="Y48" s="54" t="e">
        <f>IF(AND('Mapa final'!#REF!="Muy Baja",'Mapa final'!#REF!="Moderado"),CONCATENATE("R3C",'Mapa final'!#REF!),"")</f>
        <v>#REF!</v>
      </c>
      <c r="Z48" s="54" t="e">
        <f>IF(AND('Mapa final'!#REF!="Muy Baja",'Mapa final'!#REF!="Moderado"),CONCATENATE("R3C",'Mapa final'!#REF!),"")</f>
        <v>#REF!</v>
      </c>
      <c r="AA48" s="55" t="e">
        <f>IF(AND('Mapa final'!#REF!="Muy Baja",'Mapa final'!#REF!="Moderado"),CONCATENATE("R3C",'Mapa final'!#REF!),"")</f>
        <v>#REF!</v>
      </c>
      <c r="AB48" s="38" t="e">
        <f>IF(AND('Mapa final'!#REF!="Muy Baja",'Mapa final'!#REF!="Mayor"),CONCATENATE("R3C",'Mapa final'!#REF!),"")</f>
        <v>#REF!</v>
      </c>
      <c r="AC48" s="39" t="e">
        <f>IF(AND('Mapa final'!#REF!="Muy Baja",'Mapa final'!#REF!="Mayor"),CONCATENATE("R3C",'Mapa final'!#REF!),"")</f>
        <v>#REF!</v>
      </c>
      <c r="AD48" s="39" t="e">
        <f>IF(AND('Mapa final'!#REF!="Muy Baja",'Mapa final'!#REF!="Mayor"),CONCATENATE("R3C",'Mapa final'!#REF!),"")</f>
        <v>#REF!</v>
      </c>
      <c r="AE48" s="39" t="e">
        <f>IF(AND('Mapa final'!#REF!="Muy Baja",'Mapa final'!#REF!="Mayor"),CONCATENATE("R3C",'Mapa final'!#REF!),"")</f>
        <v>#REF!</v>
      </c>
      <c r="AF48" s="39" t="e">
        <f>IF(AND('Mapa final'!#REF!="Muy Baja",'Mapa final'!#REF!="Mayor"),CONCATENATE("R3C",'Mapa final'!#REF!),"")</f>
        <v>#REF!</v>
      </c>
      <c r="AG48" s="40" t="e">
        <f>IF(AND('Mapa final'!#REF!="Muy Baja",'Mapa final'!#REF!="Mayor"),CONCATENATE("R3C",'Mapa final'!#REF!),"")</f>
        <v>#REF!</v>
      </c>
      <c r="AH48" s="41" t="e">
        <f>IF(AND('Mapa final'!#REF!="Muy Baja",'Mapa final'!#REF!="Catastrófico"),CONCATENATE("R3C",'Mapa final'!#REF!),"")</f>
        <v>#REF!</v>
      </c>
      <c r="AI48" s="42" t="e">
        <f>IF(AND('Mapa final'!#REF!="Muy Baja",'Mapa final'!#REF!="Catastrófico"),CONCATENATE("R3C",'Mapa final'!#REF!),"")</f>
        <v>#REF!</v>
      </c>
      <c r="AJ48" s="42" t="e">
        <f>IF(AND('Mapa final'!#REF!="Muy Baja",'Mapa final'!#REF!="Catastrófico"),CONCATENATE("R3C",'Mapa final'!#REF!),"")</f>
        <v>#REF!</v>
      </c>
      <c r="AK48" s="42" t="e">
        <f>IF(AND('Mapa final'!#REF!="Muy Baja",'Mapa final'!#REF!="Catastrófico"),CONCATENATE("R3C",'Mapa final'!#REF!),"")</f>
        <v>#REF!</v>
      </c>
      <c r="AL48" s="42" t="e">
        <f>IF(AND('Mapa final'!#REF!="Muy Baja",'Mapa final'!#REF!="Catastrófico"),CONCATENATE("R3C",'Mapa final'!#REF!),"")</f>
        <v>#REF!</v>
      </c>
      <c r="AM48" s="43" t="e">
        <f>IF(AND('Mapa final'!#REF!="Muy Baja",'Mapa final'!#REF!="Catastrófico"),CONCATENATE("R3C",'Mapa final'!#REF!),"")</f>
        <v>#REF!</v>
      </c>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ht="15" customHeight="1" x14ac:dyDescent="0.25">
      <c r="A49" s="69"/>
      <c r="B49" s="302"/>
      <c r="C49" s="302"/>
      <c r="D49" s="303"/>
      <c r="E49" s="343"/>
      <c r="F49" s="344"/>
      <c r="G49" s="344"/>
      <c r="H49" s="344"/>
      <c r="I49" s="345"/>
      <c r="J49" s="62" t="e">
        <f>IF(AND('Mapa final'!#REF!="Muy Baja",'Mapa final'!#REF!="Leve"),CONCATENATE("R4C",'Mapa final'!#REF!),"")</f>
        <v>#REF!</v>
      </c>
      <c r="K49" s="63" t="e">
        <f>IF(AND('Mapa final'!#REF!="Muy Baja",'Mapa final'!#REF!="Leve"),CONCATENATE("R4C",'Mapa final'!#REF!),"")</f>
        <v>#REF!</v>
      </c>
      <c r="L49" s="63" t="e">
        <f>IF(AND('Mapa final'!#REF!="Muy Baja",'Mapa final'!#REF!="Leve"),CONCATENATE("R4C",'Mapa final'!#REF!),"")</f>
        <v>#REF!</v>
      </c>
      <c r="M49" s="63" t="e">
        <f>IF(AND('Mapa final'!#REF!="Muy Baja",'Mapa final'!#REF!="Leve"),CONCATENATE("R4C",'Mapa final'!#REF!),"")</f>
        <v>#REF!</v>
      </c>
      <c r="N49" s="63" t="e">
        <f>IF(AND('Mapa final'!#REF!="Muy Baja",'Mapa final'!#REF!="Leve"),CONCATENATE("R4C",'Mapa final'!#REF!),"")</f>
        <v>#REF!</v>
      </c>
      <c r="O49" s="64" t="e">
        <f>IF(AND('Mapa final'!#REF!="Muy Baja",'Mapa final'!#REF!="Leve"),CONCATENATE("R4C",'Mapa final'!#REF!),"")</f>
        <v>#REF!</v>
      </c>
      <c r="P49" s="62" t="e">
        <f>IF(AND('Mapa final'!#REF!="Muy Baja",'Mapa final'!#REF!="Menor"),CONCATENATE("R4C",'Mapa final'!#REF!),"")</f>
        <v>#REF!</v>
      </c>
      <c r="Q49" s="63" t="e">
        <f>IF(AND('Mapa final'!#REF!="Muy Baja",'Mapa final'!#REF!="Menor"),CONCATENATE("R4C",'Mapa final'!#REF!),"")</f>
        <v>#REF!</v>
      </c>
      <c r="R49" s="63" t="e">
        <f>IF(AND('Mapa final'!#REF!="Muy Baja",'Mapa final'!#REF!="Menor"),CONCATENATE("R4C",'Mapa final'!#REF!),"")</f>
        <v>#REF!</v>
      </c>
      <c r="S49" s="63" t="e">
        <f>IF(AND('Mapa final'!#REF!="Muy Baja",'Mapa final'!#REF!="Menor"),CONCATENATE("R4C",'Mapa final'!#REF!),"")</f>
        <v>#REF!</v>
      </c>
      <c r="T49" s="63" t="e">
        <f>IF(AND('Mapa final'!#REF!="Muy Baja",'Mapa final'!#REF!="Menor"),CONCATENATE("R4C",'Mapa final'!#REF!),"")</f>
        <v>#REF!</v>
      </c>
      <c r="U49" s="64" t="e">
        <f>IF(AND('Mapa final'!#REF!="Muy Baja",'Mapa final'!#REF!="Menor"),CONCATENATE("R4C",'Mapa final'!#REF!),"")</f>
        <v>#REF!</v>
      </c>
      <c r="V49" s="53" t="e">
        <f>IF(AND('Mapa final'!#REF!="Muy Baja",'Mapa final'!#REF!="Moderado"),CONCATENATE("R4C",'Mapa final'!#REF!),"")</f>
        <v>#REF!</v>
      </c>
      <c r="W49" s="54" t="e">
        <f>IF(AND('Mapa final'!#REF!="Muy Baja",'Mapa final'!#REF!="Moderado"),CONCATENATE("R4C",'Mapa final'!#REF!),"")</f>
        <v>#REF!</v>
      </c>
      <c r="X49" s="54" t="e">
        <f>IF(AND('Mapa final'!#REF!="Muy Baja",'Mapa final'!#REF!="Moderado"),CONCATENATE("R4C",'Mapa final'!#REF!),"")</f>
        <v>#REF!</v>
      </c>
      <c r="Y49" s="54" t="e">
        <f>IF(AND('Mapa final'!#REF!="Muy Baja",'Mapa final'!#REF!="Moderado"),CONCATENATE("R4C",'Mapa final'!#REF!),"")</f>
        <v>#REF!</v>
      </c>
      <c r="Z49" s="54" t="e">
        <f>IF(AND('Mapa final'!#REF!="Muy Baja",'Mapa final'!#REF!="Moderado"),CONCATENATE("R4C",'Mapa final'!#REF!),"")</f>
        <v>#REF!</v>
      </c>
      <c r="AA49" s="55" t="e">
        <f>IF(AND('Mapa final'!#REF!="Muy Baja",'Mapa final'!#REF!="Moderado"),CONCATENATE("R4C",'Mapa final'!#REF!),"")</f>
        <v>#REF!</v>
      </c>
      <c r="AB49" s="38" t="e">
        <f>IF(AND('Mapa final'!#REF!="Muy Baja",'Mapa final'!#REF!="Mayor"),CONCATENATE("R4C",'Mapa final'!#REF!),"")</f>
        <v>#REF!</v>
      </c>
      <c r="AC49" s="39" t="e">
        <f>IF(AND('Mapa final'!#REF!="Muy Baja",'Mapa final'!#REF!="Mayor"),CONCATENATE("R4C",'Mapa final'!#REF!),"")</f>
        <v>#REF!</v>
      </c>
      <c r="AD49" s="39" t="e">
        <f>IF(AND('Mapa final'!#REF!="Muy Baja",'Mapa final'!#REF!="Mayor"),CONCATENATE("R4C",'Mapa final'!#REF!),"")</f>
        <v>#REF!</v>
      </c>
      <c r="AE49" s="39" t="e">
        <f>IF(AND('Mapa final'!#REF!="Muy Baja",'Mapa final'!#REF!="Mayor"),CONCATENATE("R4C",'Mapa final'!#REF!),"")</f>
        <v>#REF!</v>
      </c>
      <c r="AF49" s="39" t="e">
        <f>IF(AND('Mapa final'!#REF!="Muy Baja",'Mapa final'!#REF!="Mayor"),CONCATENATE("R4C",'Mapa final'!#REF!),"")</f>
        <v>#REF!</v>
      </c>
      <c r="AG49" s="40" t="e">
        <f>IF(AND('Mapa final'!#REF!="Muy Baja",'Mapa final'!#REF!="Mayor"),CONCATENATE("R4C",'Mapa final'!#REF!),"")</f>
        <v>#REF!</v>
      </c>
      <c r="AH49" s="41" t="e">
        <f>IF(AND('Mapa final'!#REF!="Muy Baja",'Mapa final'!#REF!="Catastrófico"),CONCATENATE("R4C",'Mapa final'!#REF!),"")</f>
        <v>#REF!</v>
      </c>
      <c r="AI49" s="42" t="e">
        <f>IF(AND('Mapa final'!#REF!="Muy Baja",'Mapa final'!#REF!="Catastrófico"),CONCATENATE("R4C",'Mapa final'!#REF!),"")</f>
        <v>#REF!</v>
      </c>
      <c r="AJ49" s="42" t="e">
        <f>IF(AND('Mapa final'!#REF!="Muy Baja",'Mapa final'!#REF!="Catastrófico"),CONCATENATE("R4C",'Mapa final'!#REF!),"")</f>
        <v>#REF!</v>
      </c>
      <c r="AK49" s="42" t="e">
        <f>IF(AND('Mapa final'!#REF!="Muy Baja",'Mapa final'!#REF!="Catastrófico"),CONCATENATE("R4C",'Mapa final'!#REF!),"")</f>
        <v>#REF!</v>
      </c>
      <c r="AL49" s="42" t="e">
        <f>IF(AND('Mapa final'!#REF!="Muy Baja",'Mapa final'!#REF!="Catastrófico"),CONCATENATE("R4C",'Mapa final'!#REF!),"")</f>
        <v>#REF!</v>
      </c>
      <c r="AM49" s="43" t="e">
        <f>IF(AND('Mapa final'!#REF!="Muy Baja",'Mapa final'!#REF!="Catastrófico"),CONCATENATE("R4C",'Mapa final'!#REF!),"")</f>
        <v>#REF!</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ht="15" customHeight="1" x14ac:dyDescent="0.25">
      <c r="A50" s="69"/>
      <c r="B50" s="302"/>
      <c r="C50" s="302"/>
      <c r="D50" s="303"/>
      <c r="E50" s="343"/>
      <c r="F50" s="344"/>
      <c r="G50" s="344"/>
      <c r="H50" s="344"/>
      <c r="I50" s="345"/>
      <c r="J50" s="62" t="e">
        <f>IF(AND('Mapa final'!#REF!="Muy Baja",'Mapa final'!#REF!="Leve"),CONCATENATE("R5C",'Mapa final'!#REF!),"")</f>
        <v>#REF!</v>
      </c>
      <c r="K50" s="63" t="e">
        <f>IF(AND('Mapa final'!#REF!="Muy Baja",'Mapa final'!#REF!="Leve"),CONCATENATE("R5C",'Mapa final'!#REF!),"")</f>
        <v>#REF!</v>
      </c>
      <c r="L50" s="63" t="e">
        <f>IF(AND('Mapa final'!#REF!="Muy Baja",'Mapa final'!#REF!="Leve"),CONCATENATE("R5C",'Mapa final'!#REF!),"")</f>
        <v>#REF!</v>
      </c>
      <c r="M50" s="63" t="e">
        <f>IF(AND('Mapa final'!#REF!="Muy Baja",'Mapa final'!#REF!="Leve"),CONCATENATE("R5C",'Mapa final'!#REF!),"")</f>
        <v>#REF!</v>
      </c>
      <c r="N50" s="63" t="e">
        <f>IF(AND('Mapa final'!#REF!="Muy Baja",'Mapa final'!#REF!="Leve"),CONCATENATE("R5C",'Mapa final'!#REF!),"")</f>
        <v>#REF!</v>
      </c>
      <c r="O50" s="64" t="e">
        <f>IF(AND('Mapa final'!#REF!="Muy Baja",'Mapa final'!#REF!="Leve"),CONCATENATE("R5C",'Mapa final'!#REF!),"")</f>
        <v>#REF!</v>
      </c>
      <c r="P50" s="62" t="e">
        <f>IF(AND('Mapa final'!#REF!="Muy Baja",'Mapa final'!#REF!="Menor"),CONCATENATE("R5C",'Mapa final'!#REF!),"")</f>
        <v>#REF!</v>
      </c>
      <c r="Q50" s="63" t="e">
        <f>IF(AND('Mapa final'!#REF!="Muy Baja",'Mapa final'!#REF!="Menor"),CONCATENATE("R5C",'Mapa final'!#REF!),"")</f>
        <v>#REF!</v>
      </c>
      <c r="R50" s="63" t="e">
        <f>IF(AND('Mapa final'!#REF!="Muy Baja",'Mapa final'!#REF!="Menor"),CONCATENATE("R5C",'Mapa final'!#REF!),"")</f>
        <v>#REF!</v>
      </c>
      <c r="S50" s="63" t="e">
        <f>IF(AND('Mapa final'!#REF!="Muy Baja",'Mapa final'!#REF!="Menor"),CONCATENATE("R5C",'Mapa final'!#REF!),"")</f>
        <v>#REF!</v>
      </c>
      <c r="T50" s="63" t="e">
        <f>IF(AND('Mapa final'!#REF!="Muy Baja",'Mapa final'!#REF!="Menor"),CONCATENATE("R5C",'Mapa final'!#REF!),"")</f>
        <v>#REF!</v>
      </c>
      <c r="U50" s="64" t="e">
        <f>IF(AND('Mapa final'!#REF!="Muy Baja",'Mapa final'!#REF!="Menor"),CONCATENATE("R5C",'Mapa final'!#REF!),"")</f>
        <v>#REF!</v>
      </c>
      <c r="V50" s="53" t="e">
        <f>IF(AND('Mapa final'!#REF!="Muy Baja",'Mapa final'!#REF!="Moderado"),CONCATENATE("R5C",'Mapa final'!#REF!),"")</f>
        <v>#REF!</v>
      </c>
      <c r="W50" s="54" t="e">
        <f>IF(AND('Mapa final'!#REF!="Muy Baja",'Mapa final'!#REF!="Moderado"),CONCATENATE("R5C",'Mapa final'!#REF!),"")</f>
        <v>#REF!</v>
      </c>
      <c r="X50" s="54" t="e">
        <f>IF(AND('Mapa final'!#REF!="Muy Baja",'Mapa final'!#REF!="Moderado"),CONCATENATE("R5C",'Mapa final'!#REF!),"")</f>
        <v>#REF!</v>
      </c>
      <c r="Y50" s="54" t="e">
        <f>IF(AND('Mapa final'!#REF!="Muy Baja",'Mapa final'!#REF!="Moderado"),CONCATENATE("R5C",'Mapa final'!#REF!),"")</f>
        <v>#REF!</v>
      </c>
      <c r="Z50" s="54" t="e">
        <f>IF(AND('Mapa final'!#REF!="Muy Baja",'Mapa final'!#REF!="Moderado"),CONCATENATE("R5C",'Mapa final'!#REF!),"")</f>
        <v>#REF!</v>
      </c>
      <c r="AA50" s="55" t="e">
        <f>IF(AND('Mapa final'!#REF!="Muy Baja",'Mapa final'!#REF!="Moderado"),CONCATENATE("R5C",'Mapa final'!#REF!),"")</f>
        <v>#REF!</v>
      </c>
      <c r="AB50" s="38" t="e">
        <f>IF(AND('Mapa final'!#REF!="Muy Baja",'Mapa final'!#REF!="Mayor"),CONCATENATE("R5C",'Mapa final'!#REF!),"")</f>
        <v>#REF!</v>
      </c>
      <c r="AC50" s="39" t="e">
        <f>IF(AND('Mapa final'!#REF!="Muy Baja",'Mapa final'!#REF!="Mayor"),CONCATENATE("R5C",'Mapa final'!#REF!),"")</f>
        <v>#REF!</v>
      </c>
      <c r="AD50" s="39" t="e">
        <f>IF(AND('Mapa final'!#REF!="Muy Baja",'Mapa final'!#REF!="Mayor"),CONCATENATE("R5C",'Mapa final'!#REF!),"")</f>
        <v>#REF!</v>
      </c>
      <c r="AE50" s="39" t="e">
        <f>IF(AND('Mapa final'!#REF!="Muy Baja",'Mapa final'!#REF!="Mayor"),CONCATENATE("R5C",'Mapa final'!#REF!),"")</f>
        <v>#REF!</v>
      </c>
      <c r="AF50" s="39" t="e">
        <f>IF(AND('Mapa final'!#REF!="Muy Baja",'Mapa final'!#REF!="Mayor"),CONCATENATE("R5C",'Mapa final'!#REF!),"")</f>
        <v>#REF!</v>
      </c>
      <c r="AG50" s="40" t="e">
        <f>IF(AND('Mapa final'!#REF!="Muy Baja",'Mapa final'!#REF!="Mayor"),CONCATENATE("R5C",'Mapa final'!#REF!),"")</f>
        <v>#REF!</v>
      </c>
      <c r="AH50" s="41" t="e">
        <f>IF(AND('Mapa final'!#REF!="Muy Baja",'Mapa final'!#REF!="Catastrófico"),CONCATENATE("R5C",'Mapa final'!#REF!),"")</f>
        <v>#REF!</v>
      </c>
      <c r="AI50" s="42" t="e">
        <f>IF(AND('Mapa final'!#REF!="Muy Baja",'Mapa final'!#REF!="Catastrófico"),CONCATENATE("R5C",'Mapa final'!#REF!),"")</f>
        <v>#REF!</v>
      </c>
      <c r="AJ50" s="42" t="e">
        <f>IF(AND('Mapa final'!#REF!="Muy Baja",'Mapa final'!#REF!="Catastrófico"),CONCATENATE("R5C",'Mapa final'!#REF!),"")</f>
        <v>#REF!</v>
      </c>
      <c r="AK50" s="42" t="e">
        <f>IF(AND('Mapa final'!#REF!="Muy Baja",'Mapa final'!#REF!="Catastrófico"),CONCATENATE("R5C",'Mapa final'!#REF!),"")</f>
        <v>#REF!</v>
      </c>
      <c r="AL50" s="42" t="e">
        <f>IF(AND('Mapa final'!#REF!="Muy Baja",'Mapa final'!#REF!="Catastrófico"),CONCATENATE("R5C",'Mapa final'!#REF!),"")</f>
        <v>#REF!</v>
      </c>
      <c r="AM50" s="43" t="e">
        <f>IF(AND('Mapa final'!#REF!="Muy Baja",'Mapa final'!#REF!="Catastrófico"),CONCATENATE("R5C",'Mapa final'!#REF!),"")</f>
        <v>#REF!</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 customHeight="1" x14ac:dyDescent="0.25">
      <c r="A51" s="69"/>
      <c r="B51" s="302"/>
      <c r="C51" s="302"/>
      <c r="D51" s="303"/>
      <c r="E51" s="343"/>
      <c r="F51" s="344"/>
      <c r="G51" s="344"/>
      <c r="H51" s="344"/>
      <c r="I51" s="345"/>
      <c r="J51" s="62" t="e">
        <f>IF(AND('Mapa final'!#REF!="Muy Baja",'Mapa final'!#REF!="Leve"),CONCATENATE("R6C",'Mapa final'!#REF!),"")</f>
        <v>#REF!</v>
      </c>
      <c r="K51" s="63" t="e">
        <f>IF(AND('Mapa final'!#REF!="Muy Baja",'Mapa final'!#REF!="Leve"),CONCATENATE("R6C",'Mapa final'!#REF!),"")</f>
        <v>#REF!</v>
      </c>
      <c r="L51" s="63" t="e">
        <f>IF(AND('Mapa final'!#REF!="Muy Baja",'Mapa final'!#REF!="Leve"),CONCATENATE("R6C",'Mapa final'!#REF!),"")</f>
        <v>#REF!</v>
      </c>
      <c r="M51" s="63" t="e">
        <f>IF(AND('Mapa final'!#REF!="Muy Baja",'Mapa final'!#REF!="Leve"),CONCATENATE("R6C",'Mapa final'!#REF!),"")</f>
        <v>#REF!</v>
      </c>
      <c r="N51" s="63" t="e">
        <f>IF(AND('Mapa final'!#REF!="Muy Baja",'Mapa final'!#REF!="Leve"),CONCATENATE("R6C",'Mapa final'!#REF!),"")</f>
        <v>#REF!</v>
      </c>
      <c r="O51" s="64" t="e">
        <f>IF(AND('Mapa final'!#REF!="Muy Baja",'Mapa final'!#REF!="Leve"),CONCATENATE("R6C",'Mapa final'!#REF!),"")</f>
        <v>#REF!</v>
      </c>
      <c r="P51" s="62" t="e">
        <f>IF(AND('Mapa final'!#REF!="Muy Baja",'Mapa final'!#REF!="Menor"),CONCATENATE("R6C",'Mapa final'!#REF!),"")</f>
        <v>#REF!</v>
      </c>
      <c r="Q51" s="63" t="e">
        <f>IF(AND('Mapa final'!#REF!="Muy Baja",'Mapa final'!#REF!="Menor"),CONCATENATE("R6C",'Mapa final'!#REF!),"")</f>
        <v>#REF!</v>
      </c>
      <c r="R51" s="63" t="e">
        <f>IF(AND('Mapa final'!#REF!="Muy Baja",'Mapa final'!#REF!="Menor"),CONCATENATE("R6C",'Mapa final'!#REF!),"")</f>
        <v>#REF!</v>
      </c>
      <c r="S51" s="63" t="e">
        <f>IF(AND('Mapa final'!#REF!="Muy Baja",'Mapa final'!#REF!="Menor"),CONCATENATE("R6C",'Mapa final'!#REF!),"")</f>
        <v>#REF!</v>
      </c>
      <c r="T51" s="63" t="e">
        <f>IF(AND('Mapa final'!#REF!="Muy Baja",'Mapa final'!#REF!="Menor"),CONCATENATE("R6C",'Mapa final'!#REF!),"")</f>
        <v>#REF!</v>
      </c>
      <c r="U51" s="64" t="e">
        <f>IF(AND('Mapa final'!#REF!="Muy Baja",'Mapa final'!#REF!="Menor"),CONCATENATE("R6C",'Mapa final'!#REF!),"")</f>
        <v>#REF!</v>
      </c>
      <c r="V51" s="53" t="e">
        <f>IF(AND('Mapa final'!#REF!="Muy Baja",'Mapa final'!#REF!="Moderado"),CONCATENATE("R6C",'Mapa final'!#REF!),"")</f>
        <v>#REF!</v>
      </c>
      <c r="W51" s="54" t="e">
        <f>IF(AND('Mapa final'!#REF!="Muy Baja",'Mapa final'!#REF!="Moderado"),CONCATENATE("R6C",'Mapa final'!#REF!),"")</f>
        <v>#REF!</v>
      </c>
      <c r="X51" s="54" t="e">
        <f>IF(AND('Mapa final'!#REF!="Muy Baja",'Mapa final'!#REF!="Moderado"),CONCATENATE("R6C",'Mapa final'!#REF!),"")</f>
        <v>#REF!</v>
      </c>
      <c r="Y51" s="54" t="e">
        <f>IF(AND('Mapa final'!#REF!="Muy Baja",'Mapa final'!#REF!="Moderado"),CONCATENATE("R6C",'Mapa final'!#REF!),"")</f>
        <v>#REF!</v>
      </c>
      <c r="Z51" s="54" t="e">
        <f>IF(AND('Mapa final'!#REF!="Muy Baja",'Mapa final'!#REF!="Moderado"),CONCATENATE("R6C",'Mapa final'!#REF!),"")</f>
        <v>#REF!</v>
      </c>
      <c r="AA51" s="55" t="e">
        <f>IF(AND('Mapa final'!#REF!="Muy Baja",'Mapa final'!#REF!="Moderado"),CONCATENATE("R6C",'Mapa final'!#REF!),"")</f>
        <v>#REF!</v>
      </c>
      <c r="AB51" s="38" t="e">
        <f>IF(AND('Mapa final'!#REF!="Muy Baja",'Mapa final'!#REF!="Mayor"),CONCATENATE("R6C",'Mapa final'!#REF!),"")</f>
        <v>#REF!</v>
      </c>
      <c r="AC51" s="39" t="e">
        <f>IF(AND('Mapa final'!#REF!="Muy Baja",'Mapa final'!#REF!="Mayor"),CONCATENATE("R6C",'Mapa final'!#REF!),"")</f>
        <v>#REF!</v>
      </c>
      <c r="AD51" s="39" t="e">
        <f>IF(AND('Mapa final'!#REF!="Muy Baja",'Mapa final'!#REF!="Mayor"),CONCATENATE("R6C",'Mapa final'!#REF!),"")</f>
        <v>#REF!</v>
      </c>
      <c r="AE51" s="39" t="e">
        <f>IF(AND('Mapa final'!#REF!="Muy Baja",'Mapa final'!#REF!="Mayor"),CONCATENATE("R6C",'Mapa final'!#REF!),"")</f>
        <v>#REF!</v>
      </c>
      <c r="AF51" s="39" t="e">
        <f>IF(AND('Mapa final'!#REF!="Muy Baja",'Mapa final'!#REF!="Mayor"),CONCATENATE("R6C",'Mapa final'!#REF!),"")</f>
        <v>#REF!</v>
      </c>
      <c r="AG51" s="40" t="e">
        <f>IF(AND('Mapa final'!#REF!="Muy Baja",'Mapa final'!#REF!="Mayor"),CONCATENATE("R6C",'Mapa final'!#REF!),"")</f>
        <v>#REF!</v>
      </c>
      <c r="AH51" s="41" t="e">
        <f>IF(AND('Mapa final'!#REF!="Muy Baja",'Mapa final'!#REF!="Catastrófico"),CONCATENATE("R6C",'Mapa final'!#REF!),"")</f>
        <v>#REF!</v>
      </c>
      <c r="AI51" s="42" t="e">
        <f>IF(AND('Mapa final'!#REF!="Muy Baja",'Mapa final'!#REF!="Catastrófico"),CONCATENATE("R6C",'Mapa final'!#REF!),"")</f>
        <v>#REF!</v>
      </c>
      <c r="AJ51" s="42" t="e">
        <f>IF(AND('Mapa final'!#REF!="Muy Baja",'Mapa final'!#REF!="Catastrófico"),CONCATENATE("R6C",'Mapa final'!#REF!),"")</f>
        <v>#REF!</v>
      </c>
      <c r="AK51" s="42" t="e">
        <f>IF(AND('Mapa final'!#REF!="Muy Baja",'Mapa final'!#REF!="Catastrófico"),CONCATENATE("R6C",'Mapa final'!#REF!),"")</f>
        <v>#REF!</v>
      </c>
      <c r="AL51" s="42" t="e">
        <f>IF(AND('Mapa final'!#REF!="Muy Baja",'Mapa final'!#REF!="Catastrófico"),CONCATENATE("R6C",'Mapa final'!#REF!),"")</f>
        <v>#REF!</v>
      </c>
      <c r="AM51" s="43" t="e">
        <f>IF(AND('Mapa final'!#REF!="Muy Baja",'Mapa final'!#REF!="Catastrófico"),CONCATENATE("R6C",'Mapa final'!#REF!),"")</f>
        <v>#REF!</v>
      </c>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ht="15" customHeight="1" x14ac:dyDescent="0.25">
      <c r="A52" s="69"/>
      <c r="B52" s="302"/>
      <c r="C52" s="302"/>
      <c r="D52" s="303"/>
      <c r="E52" s="343"/>
      <c r="F52" s="344"/>
      <c r="G52" s="344"/>
      <c r="H52" s="344"/>
      <c r="I52" s="345"/>
      <c r="J52" s="62" t="e">
        <f>IF(AND('Mapa final'!#REF!="Muy Baja",'Mapa final'!#REF!="Leve"),CONCATENATE("R7C",'Mapa final'!#REF!),"")</f>
        <v>#REF!</v>
      </c>
      <c r="K52" s="63" t="e">
        <f>IF(AND('Mapa final'!#REF!="Muy Baja",'Mapa final'!#REF!="Leve"),CONCATENATE("R7C",'Mapa final'!#REF!),"")</f>
        <v>#REF!</v>
      </c>
      <c r="L52" s="63" t="e">
        <f>IF(AND('Mapa final'!#REF!="Muy Baja",'Mapa final'!#REF!="Leve"),CONCATENATE("R7C",'Mapa final'!#REF!),"")</f>
        <v>#REF!</v>
      </c>
      <c r="M52" s="63" t="e">
        <f>IF(AND('Mapa final'!#REF!="Muy Baja",'Mapa final'!#REF!="Leve"),CONCATENATE("R7C",'Mapa final'!#REF!),"")</f>
        <v>#REF!</v>
      </c>
      <c r="N52" s="63" t="e">
        <f>IF(AND('Mapa final'!#REF!="Muy Baja",'Mapa final'!#REF!="Leve"),CONCATENATE("R7C",'Mapa final'!#REF!),"")</f>
        <v>#REF!</v>
      </c>
      <c r="O52" s="64" t="e">
        <f>IF(AND('Mapa final'!#REF!="Muy Baja",'Mapa final'!#REF!="Leve"),CONCATENATE("R7C",'Mapa final'!#REF!),"")</f>
        <v>#REF!</v>
      </c>
      <c r="P52" s="62" t="e">
        <f>IF(AND('Mapa final'!#REF!="Muy Baja",'Mapa final'!#REF!="Menor"),CONCATENATE("R7C",'Mapa final'!#REF!),"")</f>
        <v>#REF!</v>
      </c>
      <c r="Q52" s="63" t="e">
        <f>IF(AND('Mapa final'!#REF!="Muy Baja",'Mapa final'!#REF!="Menor"),CONCATENATE("R7C",'Mapa final'!#REF!),"")</f>
        <v>#REF!</v>
      </c>
      <c r="R52" s="63" t="e">
        <f>IF(AND('Mapa final'!#REF!="Muy Baja",'Mapa final'!#REF!="Menor"),CONCATENATE("R7C",'Mapa final'!#REF!),"")</f>
        <v>#REF!</v>
      </c>
      <c r="S52" s="63" t="e">
        <f>IF(AND('Mapa final'!#REF!="Muy Baja",'Mapa final'!#REF!="Menor"),CONCATENATE("R7C",'Mapa final'!#REF!),"")</f>
        <v>#REF!</v>
      </c>
      <c r="T52" s="63" t="e">
        <f>IF(AND('Mapa final'!#REF!="Muy Baja",'Mapa final'!#REF!="Menor"),CONCATENATE("R7C",'Mapa final'!#REF!),"")</f>
        <v>#REF!</v>
      </c>
      <c r="U52" s="64" t="e">
        <f>IF(AND('Mapa final'!#REF!="Muy Baja",'Mapa final'!#REF!="Menor"),CONCATENATE("R7C",'Mapa final'!#REF!),"")</f>
        <v>#REF!</v>
      </c>
      <c r="V52" s="53" t="e">
        <f>IF(AND('Mapa final'!#REF!="Muy Baja",'Mapa final'!#REF!="Moderado"),CONCATENATE("R7C",'Mapa final'!#REF!),"")</f>
        <v>#REF!</v>
      </c>
      <c r="W52" s="54" t="e">
        <f>IF(AND('Mapa final'!#REF!="Muy Baja",'Mapa final'!#REF!="Moderado"),CONCATENATE("R7C",'Mapa final'!#REF!),"")</f>
        <v>#REF!</v>
      </c>
      <c r="X52" s="54" t="e">
        <f>IF(AND('Mapa final'!#REF!="Muy Baja",'Mapa final'!#REF!="Moderado"),CONCATENATE("R7C",'Mapa final'!#REF!),"")</f>
        <v>#REF!</v>
      </c>
      <c r="Y52" s="54" t="e">
        <f>IF(AND('Mapa final'!#REF!="Muy Baja",'Mapa final'!#REF!="Moderado"),CONCATENATE("R7C",'Mapa final'!#REF!),"")</f>
        <v>#REF!</v>
      </c>
      <c r="Z52" s="54" t="e">
        <f>IF(AND('Mapa final'!#REF!="Muy Baja",'Mapa final'!#REF!="Moderado"),CONCATENATE("R7C",'Mapa final'!#REF!),"")</f>
        <v>#REF!</v>
      </c>
      <c r="AA52" s="55" t="e">
        <f>IF(AND('Mapa final'!#REF!="Muy Baja",'Mapa final'!#REF!="Moderado"),CONCATENATE("R7C",'Mapa final'!#REF!),"")</f>
        <v>#REF!</v>
      </c>
      <c r="AB52" s="38" t="e">
        <f>IF(AND('Mapa final'!#REF!="Muy Baja",'Mapa final'!#REF!="Mayor"),CONCATENATE("R7C",'Mapa final'!#REF!),"")</f>
        <v>#REF!</v>
      </c>
      <c r="AC52" s="39" t="e">
        <f>IF(AND('Mapa final'!#REF!="Muy Baja",'Mapa final'!#REF!="Mayor"),CONCATENATE("R7C",'Mapa final'!#REF!),"")</f>
        <v>#REF!</v>
      </c>
      <c r="AD52" s="39" t="e">
        <f>IF(AND('Mapa final'!#REF!="Muy Baja",'Mapa final'!#REF!="Mayor"),CONCATENATE("R7C",'Mapa final'!#REF!),"")</f>
        <v>#REF!</v>
      </c>
      <c r="AE52" s="39" t="e">
        <f>IF(AND('Mapa final'!#REF!="Muy Baja",'Mapa final'!#REF!="Mayor"),CONCATENATE("R7C",'Mapa final'!#REF!),"")</f>
        <v>#REF!</v>
      </c>
      <c r="AF52" s="39" t="e">
        <f>IF(AND('Mapa final'!#REF!="Muy Baja",'Mapa final'!#REF!="Mayor"),CONCATENATE("R7C",'Mapa final'!#REF!),"")</f>
        <v>#REF!</v>
      </c>
      <c r="AG52" s="40" t="e">
        <f>IF(AND('Mapa final'!#REF!="Muy Baja",'Mapa final'!#REF!="Mayor"),CONCATENATE("R7C",'Mapa final'!#REF!),"")</f>
        <v>#REF!</v>
      </c>
      <c r="AH52" s="41" t="e">
        <f>IF(AND('Mapa final'!#REF!="Muy Baja",'Mapa final'!#REF!="Catastrófico"),CONCATENATE("R7C",'Mapa final'!#REF!),"")</f>
        <v>#REF!</v>
      </c>
      <c r="AI52" s="42" t="e">
        <f>IF(AND('Mapa final'!#REF!="Muy Baja",'Mapa final'!#REF!="Catastrófico"),CONCATENATE("R7C",'Mapa final'!#REF!),"")</f>
        <v>#REF!</v>
      </c>
      <c r="AJ52" s="42" t="e">
        <f>IF(AND('Mapa final'!#REF!="Muy Baja",'Mapa final'!#REF!="Catastrófico"),CONCATENATE("R7C",'Mapa final'!#REF!),"")</f>
        <v>#REF!</v>
      </c>
      <c r="AK52" s="42" t="e">
        <f>IF(AND('Mapa final'!#REF!="Muy Baja",'Mapa final'!#REF!="Catastrófico"),CONCATENATE("R7C",'Mapa final'!#REF!),"")</f>
        <v>#REF!</v>
      </c>
      <c r="AL52" s="42" t="e">
        <f>IF(AND('Mapa final'!#REF!="Muy Baja",'Mapa final'!#REF!="Catastrófico"),CONCATENATE("R7C",'Mapa final'!#REF!),"")</f>
        <v>#REF!</v>
      </c>
      <c r="AM52" s="43" t="e">
        <f>IF(AND('Mapa final'!#REF!="Muy Baja",'Mapa final'!#REF!="Catastrófico"),CONCATENATE("R7C",'Mapa final'!#REF!),"")</f>
        <v>#REF!</v>
      </c>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302"/>
      <c r="C53" s="302"/>
      <c r="D53" s="303"/>
      <c r="E53" s="343"/>
      <c r="F53" s="344"/>
      <c r="G53" s="344"/>
      <c r="H53" s="344"/>
      <c r="I53" s="345"/>
      <c r="J53" s="62" t="e">
        <f>IF(AND('Mapa final'!#REF!="Muy Baja",'Mapa final'!#REF!="Leve"),CONCATENATE("R8C",'Mapa final'!#REF!),"")</f>
        <v>#REF!</v>
      </c>
      <c r="K53" s="63" t="e">
        <f>IF(AND('Mapa final'!#REF!="Muy Baja",'Mapa final'!#REF!="Leve"),CONCATENATE("R8C",'Mapa final'!#REF!),"")</f>
        <v>#REF!</v>
      </c>
      <c r="L53" s="63" t="e">
        <f>IF(AND('Mapa final'!#REF!="Muy Baja",'Mapa final'!#REF!="Leve"),CONCATENATE("R8C",'Mapa final'!#REF!),"")</f>
        <v>#REF!</v>
      </c>
      <c r="M53" s="63" t="e">
        <f>IF(AND('Mapa final'!#REF!="Muy Baja",'Mapa final'!#REF!="Leve"),CONCATENATE("R8C",'Mapa final'!#REF!),"")</f>
        <v>#REF!</v>
      </c>
      <c r="N53" s="63" t="e">
        <f>IF(AND('Mapa final'!#REF!="Muy Baja",'Mapa final'!#REF!="Leve"),CONCATENATE("R8C",'Mapa final'!#REF!),"")</f>
        <v>#REF!</v>
      </c>
      <c r="O53" s="64" t="e">
        <f>IF(AND('Mapa final'!#REF!="Muy Baja",'Mapa final'!#REF!="Leve"),CONCATENATE("R8C",'Mapa final'!#REF!),"")</f>
        <v>#REF!</v>
      </c>
      <c r="P53" s="62" t="e">
        <f>IF(AND('Mapa final'!#REF!="Muy Baja",'Mapa final'!#REF!="Menor"),CONCATENATE("R8C",'Mapa final'!#REF!),"")</f>
        <v>#REF!</v>
      </c>
      <c r="Q53" s="63" t="e">
        <f>IF(AND('Mapa final'!#REF!="Muy Baja",'Mapa final'!#REF!="Menor"),CONCATENATE("R8C",'Mapa final'!#REF!),"")</f>
        <v>#REF!</v>
      </c>
      <c r="R53" s="63" t="e">
        <f>IF(AND('Mapa final'!#REF!="Muy Baja",'Mapa final'!#REF!="Menor"),CONCATENATE("R8C",'Mapa final'!#REF!),"")</f>
        <v>#REF!</v>
      </c>
      <c r="S53" s="63" t="e">
        <f>IF(AND('Mapa final'!#REF!="Muy Baja",'Mapa final'!#REF!="Menor"),CONCATENATE("R8C",'Mapa final'!#REF!),"")</f>
        <v>#REF!</v>
      </c>
      <c r="T53" s="63" t="e">
        <f>IF(AND('Mapa final'!#REF!="Muy Baja",'Mapa final'!#REF!="Menor"),CONCATENATE("R8C",'Mapa final'!#REF!),"")</f>
        <v>#REF!</v>
      </c>
      <c r="U53" s="64" t="e">
        <f>IF(AND('Mapa final'!#REF!="Muy Baja",'Mapa final'!#REF!="Menor"),CONCATENATE("R8C",'Mapa final'!#REF!),"")</f>
        <v>#REF!</v>
      </c>
      <c r="V53" s="53" t="e">
        <f>IF(AND('Mapa final'!#REF!="Muy Baja",'Mapa final'!#REF!="Moderado"),CONCATENATE("R8C",'Mapa final'!#REF!),"")</f>
        <v>#REF!</v>
      </c>
      <c r="W53" s="54" t="e">
        <f>IF(AND('Mapa final'!#REF!="Muy Baja",'Mapa final'!#REF!="Moderado"),CONCATENATE("R8C",'Mapa final'!#REF!),"")</f>
        <v>#REF!</v>
      </c>
      <c r="X53" s="54" t="e">
        <f>IF(AND('Mapa final'!#REF!="Muy Baja",'Mapa final'!#REF!="Moderado"),CONCATENATE("R8C",'Mapa final'!#REF!),"")</f>
        <v>#REF!</v>
      </c>
      <c r="Y53" s="54" t="e">
        <f>IF(AND('Mapa final'!#REF!="Muy Baja",'Mapa final'!#REF!="Moderado"),CONCATENATE("R8C",'Mapa final'!#REF!),"")</f>
        <v>#REF!</v>
      </c>
      <c r="Z53" s="54" t="e">
        <f>IF(AND('Mapa final'!#REF!="Muy Baja",'Mapa final'!#REF!="Moderado"),CONCATENATE("R8C",'Mapa final'!#REF!),"")</f>
        <v>#REF!</v>
      </c>
      <c r="AA53" s="55" t="e">
        <f>IF(AND('Mapa final'!#REF!="Muy Baja",'Mapa final'!#REF!="Moderado"),CONCATENATE("R8C",'Mapa final'!#REF!),"")</f>
        <v>#REF!</v>
      </c>
      <c r="AB53" s="38" t="e">
        <f>IF(AND('Mapa final'!#REF!="Muy Baja",'Mapa final'!#REF!="Mayor"),CONCATENATE("R8C",'Mapa final'!#REF!),"")</f>
        <v>#REF!</v>
      </c>
      <c r="AC53" s="39" t="e">
        <f>IF(AND('Mapa final'!#REF!="Muy Baja",'Mapa final'!#REF!="Mayor"),CONCATENATE("R8C",'Mapa final'!#REF!),"")</f>
        <v>#REF!</v>
      </c>
      <c r="AD53" s="39" t="e">
        <f>IF(AND('Mapa final'!#REF!="Muy Baja",'Mapa final'!#REF!="Mayor"),CONCATENATE("R8C",'Mapa final'!#REF!),"")</f>
        <v>#REF!</v>
      </c>
      <c r="AE53" s="39" t="e">
        <f>IF(AND('Mapa final'!#REF!="Muy Baja",'Mapa final'!#REF!="Mayor"),CONCATENATE("R8C",'Mapa final'!#REF!),"")</f>
        <v>#REF!</v>
      </c>
      <c r="AF53" s="39" t="e">
        <f>IF(AND('Mapa final'!#REF!="Muy Baja",'Mapa final'!#REF!="Mayor"),CONCATENATE("R8C",'Mapa final'!#REF!),"")</f>
        <v>#REF!</v>
      </c>
      <c r="AG53" s="40" t="e">
        <f>IF(AND('Mapa final'!#REF!="Muy Baja",'Mapa final'!#REF!="Mayor"),CONCATENATE("R8C",'Mapa final'!#REF!),"")</f>
        <v>#REF!</v>
      </c>
      <c r="AH53" s="41" t="e">
        <f>IF(AND('Mapa final'!#REF!="Muy Baja",'Mapa final'!#REF!="Catastrófico"),CONCATENATE("R8C",'Mapa final'!#REF!),"")</f>
        <v>#REF!</v>
      </c>
      <c r="AI53" s="42" t="e">
        <f>IF(AND('Mapa final'!#REF!="Muy Baja",'Mapa final'!#REF!="Catastrófico"),CONCATENATE("R8C",'Mapa final'!#REF!),"")</f>
        <v>#REF!</v>
      </c>
      <c r="AJ53" s="42" t="e">
        <f>IF(AND('Mapa final'!#REF!="Muy Baja",'Mapa final'!#REF!="Catastrófico"),CONCATENATE("R8C",'Mapa final'!#REF!),"")</f>
        <v>#REF!</v>
      </c>
      <c r="AK53" s="42" t="e">
        <f>IF(AND('Mapa final'!#REF!="Muy Baja",'Mapa final'!#REF!="Catastrófico"),CONCATENATE("R8C",'Mapa final'!#REF!),"")</f>
        <v>#REF!</v>
      </c>
      <c r="AL53" s="42" t="e">
        <f>IF(AND('Mapa final'!#REF!="Muy Baja",'Mapa final'!#REF!="Catastrófico"),CONCATENATE("R8C",'Mapa final'!#REF!),"")</f>
        <v>#REF!</v>
      </c>
      <c r="AM53" s="43" t="e">
        <f>IF(AND('Mapa final'!#REF!="Muy Baja",'Mapa final'!#REF!="Catastrófico"),CONCATENATE("R8C",'Mapa final'!#REF!),"")</f>
        <v>#REF!</v>
      </c>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302"/>
      <c r="C54" s="302"/>
      <c r="D54" s="303"/>
      <c r="E54" s="343"/>
      <c r="F54" s="344"/>
      <c r="G54" s="344"/>
      <c r="H54" s="344"/>
      <c r="I54" s="345"/>
      <c r="J54" s="62" t="e">
        <f>IF(AND('Mapa final'!#REF!="Muy Baja",'Mapa final'!#REF!="Leve"),CONCATENATE("R9C",'Mapa final'!#REF!),"")</f>
        <v>#REF!</v>
      </c>
      <c r="K54" s="63" t="e">
        <f>IF(AND('Mapa final'!#REF!="Muy Baja",'Mapa final'!#REF!="Leve"),CONCATENATE("R9C",'Mapa final'!#REF!),"")</f>
        <v>#REF!</v>
      </c>
      <c r="L54" s="63" t="e">
        <f>IF(AND('Mapa final'!#REF!="Muy Baja",'Mapa final'!#REF!="Leve"),CONCATENATE("R9C",'Mapa final'!#REF!),"")</f>
        <v>#REF!</v>
      </c>
      <c r="M54" s="63" t="e">
        <f>IF(AND('Mapa final'!#REF!="Muy Baja",'Mapa final'!#REF!="Leve"),CONCATENATE("R9C",'Mapa final'!#REF!),"")</f>
        <v>#REF!</v>
      </c>
      <c r="N54" s="63" t="e">
        <f>IF(AND('Mapa final'!#REF!="Muy Baja",'Mapa final'!#REF!="Leve"),CONCATENATE("R9C",'Mapa final'!#REF!),"")</f>
        <v>#REF!</v>
      </c>
      <c r="O54" s="64" t="e">
        <f>IF(AND('Mapa final'!#REF!="Muy Baja",'Mapa final'!#REF!="Leve"),CONCATENATE("R9C",'Mapa final'!#REF!),"")</f>
        <v>#REF!</v>
      </c>
      <c r="P54" s="62" t="e">
        <f>IF(AND('Mapa final'!#REF!="Muy Baja",'Mapa final'!#REF!="Menor"),CONCATENATE("R9C",'Mapa final'!#REF!),"")</f>
        <v>#REF!</v>
      </c>
      <c r="Q54" s="63" t="e">
        <f>IF(AND('Mapa final'!#REF!="Muy Baja",'Mapa final'!#REF!="Menor"),CONCATENATE("R9C",'Mapa final'!#REF!),"")</f>
        <v>#REF!</v>
      </c>
      <c r="R54" s="63" t="e">
        <f>IF(AND('Mapa final'!#REF!="Muy Baja",'Mapa final'!#REF!="Menor"),CONCATENATE("R9C",'Mapa final'!#REF!),"")</f>
        <v>#REF!</v>
      </c>
      <c r="S54" s="63" t="e">
        <f>IF(AND('Mapa final'!#REF!="Muy Baja",'Mapa final'!#REF!="Menor"),CONCATENATE("R9C",'Mapa final'!#REF!),"")</f>
        <v>#REF!</v>
      </c>
      <c r="T54" s="63" t="e">
        <f>IF(AND('Mapa final'!#REF!="Muy Baja",'Mapa final'!#REF!="Menor"),CONCATENATE("R9C",'Mapa final'!#REF!),"")</f>
        <v>#REF!</v>
      </c>
      <c r="U54" s="64" t="e">
        <f>IF(AND('Mapa final'!#REF!="Muy Baja",'Mapa final'!#REF!="Menor"),CONCATENATE("R9C",'Mapa final'!#REF!),"")</f>
        <v>#REF!</v>
      </c>
      <c r="V54" s="53" t="e">
        <f>IF(AND('Mapa final'!#REF!="Muy Baja",'Mapa final'!#REF!="Moderado"),CONCATENATE("R9C",'Mapa final'!#REF!),"")</f>
        <v>#REF!</v>
      </c>
      <c r="W54" s="54" t="e">
        <f>IF(AND('Mapa final'!#REF!="Muy Baja",'Mapa final'!#REF!="Moderado"),CONCATENATE("R9C",'Mapa final'!#REF!),"")</f>
        <v>#REF!</v>
      </c>
      <c r="X54" s="54" t="e">
        <f>IF(AND('Mapa final'!#REF!="Muy Baja",'Mapa final'!#REF!="Moderado"),CONCATENATE("R9C",'Mapa final'!#REF!),"")</f>
        <v>#REF!</v>
      </c>
      <c r="Y54" s="54" t="e">
        <f>IF(AND('Mapa final'!#REF!="Muy Baja",'Mapa final'!#REF!="Moderado"),CONCATENATE("R9C",'Mapa final'!#REF!),"")</f>
        <v>#REF!</v>
      </c>
      <c r="Z54" s="54" t="e">
        <f>IF(AND('Mapa final'!#REF!="Muy Baja",'Mapa final'!#REF!="Moderado"),CONCATENATE("R9C",'Mapa final'!#REF!),"")</f>
        <v>#REF!</v>
      </c>
      <c r="AA54" s="55" t="e">
        <f>IF(AND('Mapa final'!#REF!="Muy Baja",'Mapa final'!#REF!="Moderado"),CONCATENATE("R9C",'Mapa final'!#REF!),"")</f>
        <v>#REF!</v>
      </c>
      <c r="AB54" s="38" t="e">
        <f>IF(AND('Mapa final'!#REF!="Muy Baja",'Mapa final'!#REF!="Mayor"),CONCATENATE("R9C",'Mapa final'!#REF!),"")</f>
        <v>#REF!</v>
      </c>
      <c r="AC54" s="39" t="e">
        <f>IF(AND('Mapa final'!#REF!="Muy Baja",'Mapa final'!#REF!="Mayor"),CONCATENATE("R9C",'Mapa final'!#REF!),"")</f>
        <v>#REF!</v>
      </c>
      <c r="AD54" s="39" t="e">
        <f>IF(AND('Mapa final'!#REF!="Muy Baja",'Mapa final'!#REF!="Mayor"),CONCATENATE("R9C",'Mapa final'!#REF!),"")</f>
        <v>#REF!</v>
      </c>
      <c r="AE54" s="39" t="e">
        <f>IF(AND('Mapa final'!#REF!="Muy Baja",'Mapa final'!#REF!="Mayor"),CONCATENATE("R9C",'Mapa final'!#REF!),"")</f>
        <v>#REF!</v>
      </c>
      <c r="AF54" s="39" t="e">
        <f>IF(AND('Mapa final'!#REF!="Muy Baja",'Mapa final'!#REF!="Mayor"),CONCATENATE("R9C",'Mapa final'!#REF!),"")</f>
        <v>#REF!</v>
      </c>
      <c r="AG54" s="40" t="e">
        <f>IF(AND('Mapa final'!#REF!="Muy Baja",'Mapa final'!#REF!="Mayor"),CONCATENATE("R9C",'Mapa final'!#REF!),"")</f>
        <v>#REF!</v>
      </c>
      <c r="AH54" s="41" t="e">
        <f>IF(AND('Mapa final'!#REF!="Muy Baja",'Mapa final'!#REF!="Catastrófico"),CONCATENATE("R9C",'Mapa final'!#REF!),"")</f>
        <v>#REF!</v>
      </c>
      <c r="AI54" s="42" t="e">
        <f>IF(AND('Mapa final'!#REF!="Muy Baja",'Mapa final'!#REF!="Catastrófico"),CONCATENATE("R9C",'Mapa final'!#REF!),"")</f>
        <v>#REF!</v>
      </c>
      <c r="AJ54" s="42" t="e">
        <f>IF(AND('Mapa final'!#REF!="Muy Baja",'Mapa final'!#REF!="Catastrófico"),CONCATENATE("R9C",'Mapa final'!#REF!),"")</f>
        <v>#REF!</v>
      </c>
      <c r="AK54" s="42" t="e">
        <f>IF(AND('Mapa final'!#REF!="Muy Baja",'Mapa final'!#REF!="Catastrófico"),CONCATENATE("R9C",'Mapa final'!#REF!),"")</f>
        <v>#REF!</v>
      </c>
      <c r="AL54" s="42" t="e">
        <f>IF(AND('Mapa final'!#REF!="Muy Baja",'Mapa final'!#REF!="Catastrófico"),CONCATENATE("R9C",'Mapa final'!#REF!),"")</f>
        <v>#REF!</v>
      </c>
      <c r="AM54" s="43" t="e">
        <f>IF(AND('Mapa final'!#REF!="Muy Baja",'Mapa final'!#REF!="Catastrófico"),CONCATENATE("R9C",'Mapa final'!#REF!),"")</f>
        <v>#REF!</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ht="15.75" customHeight="1" thickBot="1" x14ac:dyDescent="0.3">
      <c r="A55" s="69"/>
      <c r="B55" s="302"/>
      <c r="C55" s="302"/>
      <c r="D55" s="303"/>
      <c r="E55" s="346"/>
      <c r="F55" s="347"/>
      <c r="G55" s="347"/>
      <c r="H55" s="347"/>
      <c r="I55" s="348"/>
      <c r="J55" s="65" t="e">
        <f>IF(AND('Mapa final'!#REF!="Muy Baja",'Mapa final'!#REF!="Leve"),CONCATENATE("R10C",'Mapa final'!#REF!),"")</f>
        <v>#REF!</v>
      </c>
      <c r="K55" s="66" t="e">
        <f>IF(AND('Mapa final'!#REF!="Muy Baja",'Mapa final'!#REF!="Leve"),CONCATENATE("R10C",'Mapa final'!#REF!),"")</f>
        <v>#REF!</v>
      </c>
      <c r="L55" s="66" t="e">
        <f>IF(AND('Mapa final'!#REF!="Muy Baja",'Mapa final'!#REF!="Leve"),CONCATENATE("R10C",'Mapa final'!#REF!),"")</f>
        <v>#REF!</v>
      </c>
      <c r="M55" s="66" t="e">
        <f>IF(AND('Mapa final'!#REF!="Muy Baja",'Mapa final'!#REF!="Leve"),CONCATENATE("R10C",'Mapa final'!#REF!),"")</f>
        <v>#REF!</v>
      </c>
      <c r="N55" s="66" t="e">
        <f>IF(AND('Mapa final'!#REF!="Muy Baja",'Mapa final'!#REF!="Leve"),CONCATENATE("R10C",'Mapa final'!#REF!),"")</f>
        <v>#REF!</v>
      </c>
      <c r="O55" s="67" t="e">
        <f>IF(AND('Mapa final'!#REF!="Muy Baja",'Mapa final'!#REF!="Leve"),CONCATENATE("R10C",'Mapa final'!#REF!),"")</f>
        <v>#REF!</v>
      </c>
      <c r="P55" s="65" t="e">
        <f>IF(AND('Mapa final'!#REF!="Muy Baja",'Mapa final'!#REF!="Menor"),CONCATENATE("R10C",'Mapa final'!#REF!),"")</f>
        <v>#REF!</v>
      </c>
      <c r="Q55" s="66" t="e">
        <f>IF(AND('Mapa final'!#REF!="Muy Baja",'Mapa final'!#REF!="Menor"),CONCATENATE("R10C",'Mapa final'!#REF!),"")</f>
        <v>#REF!</v>
      </c>
      <c r="R55" s="66" t="e">
        <f>IF(AND('Mapa final'!#REF!="Muy Baja",'Mapa final'!#REF!="Menor"),CONCATENATE("R10C",'Mapa final'!#REF!),"")</f>
        <v>#REF!</v>
      </c>
      <c r="S55" s="66" t="e">
        <f>IF(AND('Mapa final'!#REF!="Muy Baja",'Mapa final'!#REF!="Menor"),CONCATENATE("R10C",'Mapa final'!#REF!),"")</f>
        <v>#REF!</v>
      </c>
      <c r="T55" s="66" t="e">
        <f>IF(AND('Mapa final'!#REF!="Muy Baja",'Mapa final'!#REF!="Menor"),CONCATENATE("R10C",'Mapa final'!#REF!),"")</f>
        <v>#REF!</v>
      </c>
      <c r="U55" s="67" t="e">
        <f>IF(AND('Mapa final'!#REF!="Muy Baja",'Mapa final'!#REF!="Menor"),CONCATENATE("R10C",'Mapa final'!#REF!),"")</f>
        <v>#REF!</v>
      </c>
      <c r="V55" s="56" t="e">
        <f>IF(AND('Mapa final'!#REF!="Muy Baja",'Mapa final'!#REF!="Moderado"),CONCATENATE("R10C",'Mapa final'!#REF!),"")</f>
        <v>#REF!</v>
      </c>
      <c r="W55" s="57" t="e">
        <f>IF(AND('Mapa final'!#REF!="Muy Baja",'Mapa final'!#REF!="Moderado"),CONCATENATE("R10C",'Mapa final'!#REF!),"")</f>
        <v>#REF!</v>
      </c>
      <c r="X55" s="57" t="e">
        <f>IF(AND('Mapa final'!#REF!="Muy Baja",'Mapa final'!#REF!="Moderado"),CONCATENATE("R10C",'Mapa final'!#REF!),"")</f>
        <v>#REF!</v>
      </c>
      <c r="Y55" s="57" t="e">
        <f>IF(AND('Mapa final'!#REF!="Muy Baja",'Mapa final'!#REF!="Moderado"),CONCATENATE("R10C",'Mapa final'!#REF!),"")</f>
        <v>#REF!</v>
      </c>
      <c r="Z55" s="57" t="e">
        <f>IF(AND('Mapa final'!#REF!="Muy Baja",'Mapa final'!#REF!="Moderado"),CONCATENATE("R10C",'Mapa final'!#REF!),"")</f>
        <v>#REF!</v>
      </c>
      <c r="AA55" s="58" t="e">
        <f>IF(AND('Mapa final'!#REF!="Muy Baja",'Mapa final'!#REF!="Moderado"),CONCATENATE("R10C",'Mapa final'!#REF!),"")</f>
        <v>#REF!</v>
      </c>
      <c r="AB55" s="44" t="e">
        <f>IF(AND('Mapa final'!#REF!="Muy Baja",'Mapa final'!#REF!="Mayor"),CONCATENATE("R10C",'Mapa final'!#REF!),"")</f>
        <v>#REF!</v>
      </c>
      <c r="AC55" s="45" t="e">
        <f>IF(AND('Mapa final'!#REF!="Muy Baja",'Mapa final'!#REF!="Mayor"),CONCATENATE("R10C",'Mapa final'!#REF!),"")</f>
        <v>#REF!</v>
      </c>
      <c r="AD55" s="45" t="e">
        <f>IF(AND('Mapa final'!#REF!="Muy Baja",'Mapa final'!#REF!="Mayor"),CONCATENATE("R10C",'Mapa final'!#REF!),"")</f>
        <v>#REF!</v>
      </c>
      <c r="AE55" s="45" t="e">
        <f>IF(AND('Mapa final'!#REF!="Muy Baja",'Mapa final'!#REF!="Mayor"),CONCATENATE("R10C",'Mapa final'!#REF!),"")</f>
        <v>#REF!</v>
      </c>
      <c r="AF55" s="45" t="e">
        <f>IF(AND('Mapa final'!#REF!="Muy Baja",'Mapa final'!#REF!="Mayor"),CONCATENATE("R10C",'Mapa final'!#REF!),"")</f>
        <v>#REF!</v>
      </c>
      <c r="AG55" s="46" t="e">
        <f>IF(AND('Mapa final'!#REF!="Muy Baja",'Mapa final'!#REF!="Mayor"),CONCATENATE("R10C",'Mapa final'!#REF!),"")</f>
        <v>#REF!</v>
      </c>
      <c r="AH55" s="47" t="e">
        <f>IF(AND('Mapa final'!#REF!="Muy Baja",'Mapa final'!#REF!="Catastrófico"),CONCATENATE("R10C",'Mapa final'!#REF!),"")</f>
        <v>#REF!</v>
      </c>
      <c r="AI55" s="48" t="e">
        <f>IF(AND('Mapa final'!#REF!="Muy Baja",'Mapa final'!#REF!="Catastrófico"),CONCATENATE("R10C",'Mapa final'!#REF!),"")</f>
        <v>#REF!</v>
      </c>
      <c r="AJ55" s="48" t="e">
        <f>IF(AND('Mapa final'!#REF!="Muy Baja",'Mapa final'!#REF!="Catastrófico"),CONCATENATE("R10C",'Mapa final'!#REF!),"")</f>
        <v>#REF!</v>
      </c>
      <c r="AK55" s="48" t="e">
        <f>IF(AND('Mapa final'!#REF!="Muy Baja",'Mapa final'!#REF!="Catastrófico"),CONCATENATE("R10C",'Mapa final'!#REF!),"")</f>
        <v>#REF!</v>
      </c>
      <c r="AL55" s="48" t="e">
        <f>IF(AND('Mapa final'!#REF!="Muy Baja",'Mapa final'!#REF!="Catastrófico"),CONCATENATE("R10C",'Mapa final'!#REF!),"")</f>
        <v>#REF!</v>
      </c>
      <c r="AM55" s="49" t="e">
        <f>IF(AND('Mapa final'!#REF!="Muy Baja",'Mapa final'!#REF!="Catastrófico"),CONCATENATE("R10C",'Mapa final'!#REF!),"")</f>
        <v>#REF!</v>
      </c>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340" t="s">
        <v>111</v>
      </c>
      <c r="K56" s="341"/>
      <c r="L56" s="341"/>
      <c r="M56" s="341"/>
      <c r="N56" s="341"/>
      <c r="O56" s="342"/>
      <c r="P56" s="340" t="s">
        <v>110</v>
      </c>
      <c r="Q56" s="341"/>
      <c r="R56" s="341"/>
      <c r="S56" s="341"/>
      <c r="T56" s="341"/>
      <c r="U56" s="342"/>
      <c r="V56" s="340" t="s">
        <v>109</v>
      </c>
      <c r="W56" s="341"/>
      <c r="X56" s="341"/>
      <c r="Y56" s="341"/>
      <c r="Z56" s="341"/>
      <c r="AA56" s="342"/>
      <c r="AB56" s="340" t="s">
        <v>108</v>
      </c>
      <c r="AC56" s="349"/>
      <c r="AD56" s="341"/>
      <c r="AE56" s="341"/>
      <c r="AF56" s="341"/>
      <c r="AG56" s="342"/>
      <c r="AH56" s="340" t="s">
        <v>107</v>
      </c>
      <c r="AI56" s="341"/>
      <c r="AJ56" s="341"/>
      <c r="AK56" s="341"/>
      <c r="AL56" s="341"/>
      <c r="AM56" s="342"/>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343"/>
      <c r="K57" s="344"/>
      <c r="L57" s="344"/>
      <c r="M57" s="344"/>
      <c r="N57" s="344"/>
      <c r="O57" s="345"/>
      <c r="P57" s="343"/>
      <c r="Q57" s="344"/>
      <c r="R57" s="344"/>
      <c r="S57" s="344"/>
      <c r="T57" s="344"/>
      <c r="U57" s="345"/>
      <c r="V57" s="343"/>
      <c r="W57" s="344"/>
      <c r="X57" s="344"/>
      <c r="Y57" s="344"/>
      <c r="Z57" s="344"/>
      <c r="AA57" s="345"/>
      <c r="AB57" s="343"/>
      <c r="AC57" s="344"/>
      <c r="AD57" s="344"/>
      <c r="AE57" s="344"/>
      <c r="AF57" s="344"/>
      <c r="AG57" s="345"/>
      <c r="AH57" s="343"/>
      <c r="AI57" s="344"/>
      <c r="AJ57" s="344"/>
      <c r="AK57" s="344"/>
      <c r="AL57" s="344"/>
      <c r="AM57" s="345"/>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343"/>
      <c r="K58" s="344"/>
      <c r="L58" s="344"/>
      <c r="M58" s="344"/>
      <c r="N58" s="344"/>
      <c r="O58" s="345"/>
      <c r="P58" s="343"/>
      <c r="Q58" s="344"/>
      <c r="R58" s="344"/>
      <c r="S58" s="344"/>
      <c r="T58" s="344"/>
      <c r="U58" s="345"/>
      <c r="V58" s="343"/>
      <c r="W58" s="344"/>
      <c r="X58" s="344"/>
      <c r="Y58" s="344"/>
      <c r="Z58" s="344"/>
      <c r="AA58" s="345"/>
      <c r="AB58" s="343"/>
      <c r="AC58" s="344"/>
      <c r="AD58" s="344"/>
      <c r="AE58" s="344"/>
      <c r="AF58" s="344"/>
      <c r="AG58" s="345"/>
      <c r="AH58" s="343"/>
      <c r="AI58" s="344"/>
      <c r="AJ58" s="344"/>
      <c r="AK58" s="344"/>
      <c r="AL58" s="344"/>
      <c r="AM58" s="345"/>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343"/>
      <c r="K59" s="344"/>
      <c r="L59" s="344"/>
      <c r="M59" s="344"/>
      <c r="N59" s="344"/>
      <c r="O59" s="345"/>
      <c r="P59" s="343"/>
      <c r="Q59" s="344"/>
      <c r="R59" s="344"/>
      <c r="S59" s="344"/>
      <c r="T59" s="344"/>
      <c r="U59" s="345"/>
      <c r="V59" s="343"/>
      <c r="W59" s="344"/>
      <c r="X59" s="344"/>
      <c r="Y59" s="344"/>
      <c r="Z59" s="344"/>
      <c r="AA59" s="345"/>
      <c r="AB59" s="343"/>
      <c r="AC59" s="344"/>
      <c r="AD59" s="344"/>
      <c r="AE59" s="344"/>
      <c r="AF59" s="344"/>
      <c r="AG59" s="345"/>
      <c r="AH59" s="343"/>
      <c r="AI59" s="344"/>
      <c r="AJ59" s="344"/>
      <c r="AK59" s="344"/>
      <c r="AL59" s="344"/>
      <c r="AM59" s="345"/>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343"/>
      <c r="K60" s="344"/>
      <c r="L60" s="344"/>
      <c r="M60" s="344"/>
      <c r="N60" s="344"/>
      <c r="O60" s="345"/>
      <c r="P60" s="343"/>
      <c r="Q60" s="344"/>
      <c r="R60" s="344"/>
      <c r="S60" s="344"/>
      <c r="T60" s="344"/>
      <c r="U60" s="345"/>
      <c r="V60" s="343"/>
      <c r="W60" s="344"/>
      <c r="X60" s="344"/>
      <c r="Y60" s="344"/>
      <c r="Z60" s="344"/>
      <c r="AA60" s="345"/>
      <c r="AB60" s="343"/>
      <c r="AC60" s="344"/>
      <c r="AD60" s="344"/>
      <c r="AE60" s="344"/>
      <c r="AF60" s="344"/>
      <c r="AG60" s="345"/>
      <c r="AH60" s="343"/>
      <c r="AI60" s="344"/>
      <c r="AJ60" s="344"/>
      <c r="AK60" s="344"/>
      <c r="AL60" s="344"/>
      <c r="AM60" s="345"/>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ht="15.75" thickBot="1" x14ac:dyDescent="0.3">
      <c r="A61" s="69"/>
      <c r="B61" s="69"/>
      <c r="C61" s="69"/>
      <c r="D61" s="69"/>
      <c r="E61" s="69"/>
      <c r="F61" s="69"/>
      <c r="G61" s="69"/>
      <c r="H61" s="69"/>
      <c r="I61" s="69"/>
      <c r="J61" s="346"/>
      <c r="K61" s="347"/>
      <c r="L61" s="347"/>
      <c r="M61" s="347"/>
      <c r="N61" s="347"/>
      <c r="O61" s="348"/>
      <c r="P61" s="346"/>
      <c r="Q61" s="347"/>
      <c r="R61" s="347"/>
      <c r="S61" s="347"/>
      <c r="T61" s="347"/>
      <c r="U61" s="348"/>
      <c r="V61" s="346"/>
      <c r="W61" s="347"/>
      <c r="X61" s="347"/>
      <c r="Y61" s="347"/>
      <c r="Z61" s="347"/>
      <c r="AA61" s="348"/>
      <c r="AB61" s="346"/>
      <c r="AC61" s="347"/>
      <c r="AD61" s="347"/>
      <c r="AE61" s="347"/>
      <c r="AF61" s="347"/>
      <c r="AG61" s="348"/>
      <c r="AH61" s="346"/>
      <c r="AI61" s="347"/>
      <c r="AJ61" s="347"/>
      <c r="AK61" s="347"/>
      <c r="AL61" s="347"/>
      <c r="AM61" s="348"/>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row>
    <row r="63" spans="1:80" ht="15" customHeight="1" x14ac:dyDescent="0.25">
      <c r="A63" s="69"/>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69"/>
      <c r="AV63" s="69"/>
      <c r="AW63" s="69"/>
      <c r="AX63" s="69"/>
      <c r="AY63" s="69"/>
      <c r="AZ63" s="69"/>
      <c r="BA63" s="69"/>
      <c r="BB63" s="69"/>
      <c r="BC63" s="69"/>
      <c r="BD63" s="69"/>
      <c r="BE63" s="69"/>
      <c r="BF63" s="69"/>
      <c r="BG63" s="69"/>
      <c r="BH63" s="69"/>
    </row>
    <row r="64" spans="1:80" ht="15" customHeight="1" x14ac:dyDescent="0.25">
      <c r="A64" s="69"/>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69"/>
      <c r="AV64" s="69"/>
      <c r="AW64" s="69"/>
      <c r="AX64" s="69"/>
      <c r="AY64" s="69"/>
      <c r="AZ64" s="69"/>
      <c r="BA64" s="69"/>
      <c r="BB64" s="69"/>
      <c r="BC64" s="69"/>
      <c r="BD64" s="69"/>
      <c r="BE64" s="69"/>
      <c r="BF64" s="69"/>
      <c r="BG64" s="69"/>
      <c r="BH64" s="69"/>
    </row>
    <row r="65" spans="1:6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row>
    <row r="66" spans="1:6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row>
    <row r="67" spans="1:6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row>
    <row r="68" spans="1:6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row>
    <row r="70" spans="1:6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row>
    <row r="71" spans="1:6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row>
    <row r="83" spans="1:60"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row>
    <row r="84" spans="1:60"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row>
    <row r="85" spans="1:60"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row>
    <row r="86" spans="1:60"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row>
    <row r="87" spans="1:60"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row>
    <row r="88" spans="1:60"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row>
    <row r="89" spans="1:60"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row>
    <row r="90" spans="1:60"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row>
    <row r="91" spans="1:60"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row>
    <row r="92" spans="1:60"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row>
    <row r="93" spans="1:60"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row>
    <row r="94" spans="1:60"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row>
    <row r="95" spans="1:60"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row>
    <row r="96" spans="1:60"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row>
    <row r="97" spans="1:60"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row>
    <row r="98" spans="1:60"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row>
    <row r="99" spans="1:60"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row>
    <row r="100" spans="1:60"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row>
    <row r="101" spans="1:60"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row>
    <row r="102" spans="1:60"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row>
    <row r="103" spans="1:60"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row>
    <row r="104" spans="1:60"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row>
    <row r="105" spans="1:60"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row>
    <row r="106" spans="1:60"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row>
    <row r="107" spans="1:60"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row>
    <row r="108" spans="1:60"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row>
    <row r="109" spans="1:60"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row>
    <row r="110" spans="1:60"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row>
    <row r="111" spans="1:60"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row>
    <row r="112" spans="1:60"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row>
    <row r="113" spans="1:60"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row>
    <row r="114" spans="1:60"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row>
    <row r="115" spans="1:60"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row>
    <row r="116" spans="1:60"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row>
    <row r="117" spans="1:60"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row>
    <row r="118" spans="1:60"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row>
    <row r="119" spans="1:60"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row>
    <row r="120" spans="1:60"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row>
    <row r="121" spans="1:60"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row>
    <row r="122" spans="1:60"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row>
    <row r="123" spans="1:60"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row>
    <row r="124" spans="1:60"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row>
    <row r="125" spans="1:60"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row>
    <row r="126" spans="1:60"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row>
    <row r="127" spans="1:60"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row>
    <row r="128" spans="1:60"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row>
    <row r="129" spans="1:60"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row>
    <row r="130" spans="1:60"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row>
    <row r="131" spans="1:60"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row>
    <row r="132" spans="1:60"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row>
    <row r="133" spans="1:60"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row>
    <row r="134" spans="1:60"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row>
    <row r="135" spans="1:60"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row>
    <row r="136" spans="1:60"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row>
    <row r="137" spans="1:60"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row>
    <row r="138" spans="1:60"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row>
    <row r="139" spans="1:60"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row>
    <row r="140" spans="1:60"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row>
    <row r="141" spans="1:60"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row>
    <row r="142" spans="1:60"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row>
    <row r="143" spans="1:60"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row>
    <row r="144" spans="1:60"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row>
    <row r="145" spans="1:60"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row>
    <row r="146" spans="1:60"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row>
    <row r="147" spans="1:60"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row>
    <row r="148" spans="1:60"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row>
    <row r="149" spans="1:60"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row>
    <row r="150" spans="1:60"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row>
    <row r="151" spans="1:60"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row>
    <row r="152" spans="1:60"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row>
    <row r="153" spans="1:60"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row>
    <row r="154" spans="1:60"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row>
    <row r="155" spans="1:60"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row>
    <row r="156" spans="1:60"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row>
    <row r="157" spans="1:60"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row>
    <row r="158" spans="1:60"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row>
    <row r="159" spans="1:60"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row>
    <row r="160" spans="1:60"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row>
    <row r="161" spans="1:60"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row>
    <row r="162" spans="1:60"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row>
    <row r="163" spans="1:60"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row>
    <row r="164" spans="1:60"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row>
    <row r="165" spans="1:60"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row>
    <row r="166" spans="1:60"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row>
    <row r="167" spans="1:60"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row>
    <row r="168" spans="1:60"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row>
    <row r="169" spans="1:60"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row>
    <row r="170" spans="1:60"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row>
    <row r="171" spans="1:60"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row>
    <row r="172" spans="1:60"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row>
    <row r="173" spans="1:60"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row>
    <row r="174" spans="1:60"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row>
    <row r="175" spans="1:60"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row>
    <row r="176" spans="1:60"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row>
    <row r="177" spans="1:60"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row>
    <row r="178" spans="1:60"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row>
    <row r="179" spans="1:60"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row>
    <row r="180" spans="1:60"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row>
    <row r="181" spans="1:60"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row>
    <row r="182" spans="1:60"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row>
    <row r="183" spans="1:60"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row>
    <row r="184" spans="1:60"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row>
    <row r="185" spans="1:60"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row>
    <row r="186" spans="1:60"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row>
    <row r="187" spans="1:60"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row>
    <row r="188" spans="1:60"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row>
    <row r="189" spans="1:60"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row>
    <row r="190" spans="1:60"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row>
    <row r="191" spans="1:60" x14ac:dyDescent="0.25">
      <c r="A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row>
    <row r="192" spans="1:60" x14ac:dyDescent="0.25">
      <c r="A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row>
    <row r="193" spans="1:60" x14ac:dyDescent="0.25">
      <c r="A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row>
    <row r="194" spans="1:60" x14ac:dyDescent="0.25">
      <c r="A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row>
    <row r="195" spans="1:60" x14ac:dyDescent="0.25">
      <c r="A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row>
    <row r="196" spans="1:60" x14ac:dyDescent="0.25">
      <c r="A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row>
    <row r="197" spans="1:60" x14ac:dyDescent="0.25">
      <c r="A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row>
    <row r="198" spans="1:60" x14ac:dyDescent="0.25">
      <c r="A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row>
    <row r="199" spans="1:60" x14ac:dyDescent="0.25">
      <c r="A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row>
    <row r="200" spans="1:60" x14ac:dyDescent="0.25">
      <c r="A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row>
    <row r="201" spans="1:60" x14ac:dyDescent="0.25">
      <c r="A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row>
    <row r="202" spans="1:60" x14ac:dyDescent="0.25">
      <c r="A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row>
    <row r="203" spans="1:60" x14ac:dyDescent="0.25">
      <c r="A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row>
    <row r="204" spans="1:60" x14ac:dyDescent="0.25">
      <c r="A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row>
    <row r="205" spans="1:60" x14ac:dyDescent="0.25">
      <c r="A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row>
    <row r="206" spans="1:60" x14ac:dyDescent="0.25">
      <c r="A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row>
    <row r="207" spans="1:60" x14ac:dyDescent="0.25">
      <c r="A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row>
    <row r="208" spans="1:60" x14ac:dyDescent="0.25">
      <c r="A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row>
    <row r="209" spans="1:60" x14ac:dyDescent="0.25">
      <c r="A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row>
    <row r="210" spans="1:60" x14ac:dyDescent="0.25">
      <c r="A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row>
    <row r="211" spans="1:60" x14ac:dyDescent="0.25">
      <c r="A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row>
    <row r="212" spans="1:60" x14ac:dyDescent="0.25">
      <c r="A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row>
    <row r="213" spans="1:60" x14ac:dyDescent="0.25">
      <c r="A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row>
    <row r="214" spans="1:60" x14ac:dyDescent="0.25">
      <c r="A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row>
    <row r="215" spans="1:60" x14ac:dyDescent="0.25">
      <c r="A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row>
    <row r="216" spans="1:60" x14ac:dyDescent="0.25">
      <c r="A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row>
    <row r="217" spans="1:60" x14ac:dyDescent="0.25">
      <c r="A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row>
    <row r="218" spans="1:60" x14ac:dyDescent="0.25">
      <c r="A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row>
    <row r="219" spans="1:60" x14ac:dyDescent="0.25">
      <c r="A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row>
    <row r="220" spans="1:60" x14ac:dyDescent="0.25">
      <c r="A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row>
    <row r="221" spans="1:60" x14ac:dyDescent="0.25">
      <c r="A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row>
    <row r="222" spans="1:60" x14ac:dyDescent="0.25">
      <c r="A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row>
    <row r="223" spans="1:60" x14ac:dyDescent="0.25">
      <c r="A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row>
    <row r="224" spans="1:60" x14ac:dyDescent="0.25">
      <c r="A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row>
    <row r="225" spans="1:60" x14ac:dyDescent="0.25">
      <c r="A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row>
    <row r="226" spans="1:60" x14ac:dyDescent="0.25">
      <c r="A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row>
    <row r="227" spans="1:60" x14ac:dyDescent="0.25">
      <c r="A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row>
    <row r="228" spans="1:60" x14ac:dyDescent="0.25">
      <c r="A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row>
    <row r="229" spans="1:60" x14ac:dyDescent="0.25">
      <c r="A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row>
    <row r="230" spans="1:60" x14ac:dyDescent="0.25">
      <c r="A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row>
    <row r="231" spans="1:60" x14ac:dyDescent="0.25">
      <c r="A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row>
    <row r="232" spans="1:60" x14ac:dyDescent="0.25">
      <c r="A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row>
    <row r="233" spans="1:60" x14ac:dyDescent="0.25">
      <c r="A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row>
    <row r="234" spans="1:60" x14ac:dyDescent="0.25">
      <c r="A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row>
    <row r="235" spans="1:60" x14ac:dyDescent="0.25">
      <c r="A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row>
    <row r="236" spans="1:60" x14ac:dyDescent="0.25">
      <c r="A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row>
    <row r="237" spans="1:60" x14ac:dyDescent="0.25">
      <c r="A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row>
    <row r="238" spans="1:60" x14ac:dyDescent="0.25">
      <c r="A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row>
    <row r="239" spans="1:60" x14ac:dyDescent="0.25">
      <c r="A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row>
    <row r="240" spans="1:60" x14ac:dyDescent="0.25">
      <c r="A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row>
    <row r="241" spans="1:60" x14ac:dyDescent="0.25">
      <c r="A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row>
    <row r="242" spans="1:60" x14ac:dyDescent="0.25">
      <c r="A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row>
    <row r="243" spans="1:60" x14ac:dyDescent="0.25">
      <c r="A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row>
    <row r="244" spans="1:60" x14ac:dyDescent="0.25">
      <c r="A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row>
    <row r="245" spans="1:60" x14ac:dyDescent="0.25">
      <c r="A245" s="69"/>
    </row>
    <row r="246" spans="1:60" x14ac:dyDescent="0.25">
      <c r="A246" s="69"/>
    </row>
    <row r="247" spans="1:60" x14ac:dyDescent="0.25">
      <c r="A247" s="69"/>
    </row>
    <row r="248" spans="1:60" x14ac:dyDescent="0.25">
      <c r="A248" s="69"/>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389" t="s">
        <v>54</v>
      </c>
      <c r="C1" s="389"/>
      <c r="D1" s="389"/>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390" t="s">
        <v>62</v>
      </c>
      <c r="C1" s="390"/>
      <c r="D1" s="390"/>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210</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117</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391" t="s">
        <v>77</v>
      </c>
      <c r="C1" s="392"/>
      <c r="D1" s="392"/>
      <c r="E1" s="392"/>
      <c r="F1" s="393"/>
    </row>
    <row r="2" spans="2:6" ht="16.5" thickBot="1" x14ac:dyDescent="0.3">
      <c r="B2" s="75"/>
      <c r="C2" s="75"/>
      <c r="D2" s="75"/>
      <c r="E2" s="75"/>
      <c r="F2" s="75"/>
    </row>
    <row r="3" spans="2:6" ht="16.5" thickBot="1" x14ac:dyDescent="0.25">
      <c r="B3" s="395" t="s">
        <v>63</v>
      </c>
      <c r="C3" s="396"/>
      <c r="D3" s="396"/>
      <c r="E3" s="87" t="s">
        <v>64</v>
      </c>
      <c r="F3" s="88" t="s">
        <v>65</v>
      </c>
    </row>
    <row r="4" spans="2:6" ht="31.5" x14ac:dyDescent="0.2">
      <c r="B4" s="397" t="s">
        <v>66</v>
      </c>
      <c r="C4" s="399" t="s">
        <v>13</v>
      </c>
      <c r="D4" s="76" t="s">
        <v>14</v>
      </c>
      <c r="E4" s="77" t="s">
        <v>67</v>
      </c>
      <c r="F4" s="78">
        <v>0.25</v>
      </c>
    </row>
    <row r="5" spans="2:6" ht="47.25" x14ac:dyDescent="0.2">
      <c r="B5" s="398"/>
      <c r="C5" s="400"/>
      <c r="D5" s="79" t="s">
        <v>15</v>
      </c>
      <c r="E5" s="80" t="s">
        <v>68</v>
      </c>
      <c r="F5" s="81">
        <v>0.15</v>
      </c>
    </row>
    <row r="6" spans="2:6" ht="47.25" x14ac:dyDescent="0.2">
      <c r="B6" s="398"/>
      <c r="C6" s="400"/>
      <c r="D6" s="79" t="s">
        <v>16</v>
      </c>
      <c r="E6" s="80" t="s">
        <v>69</v>
      </c>
      <c r="F6" s="81">
        <v>0.1</v>
      </c>
    </row>
    <row r="7" spans="2:6" ht="63" x14ac:dyDescent="0.2">
      <c r="B7" s="398"/>
      <c r="C7" s="400" t="s">
        <v>17</v>
      </c>
      <c r="D7" s="79" t="s">
        <v>10</v>
      </c>
      <c r="E7" s="80" t="s">
        <v>70</v>
      </c>
      <c r="F7" s="81">
        <v>0.25</v>
      </c>
    </row>
    <row r="8" spans="2:6" ht="31.5" x14ac:dyDescent="0.2">
      <c r="B8" s="398"/>
      <c r="C8" s="400"/>
      <c r="D8" s="79" t="s">
        <v>9</v>
      </c>
      <c r="E8" s="80" t="s">
        <v>71</v>
      </c>
      <c r="F8" s="81">
        <v>0.15</v>
      </c>
    </row>
    <row r="9" spans="2:6" ht="47.25" x14ac:dyDescent="0.2">
      <c r="B9" s="398" t="s">
        <v>158</v>
      </c>
      <c r="C9" s="400" t="s">
        <v>18</v>
      </c>
      <c r="D9" s="79" t="s">
        <v>19</v>
      </c>
      <c r="E9" s="80" t="s">
        <v>72</v>
      </c>
      <c r="F9" s="82" t="s">
        <v>73</v>
      </c>
    </row>
    <row r="10" spans="2:6" ht="63" x14ac:dyDescent="0.2">
      <c r="B10" s="398"/>
      <c r="C10" s="400"/>
      <c r="D10" s="79" t="s">
        <v>20</v>
      </c>
      <c r="E10" s="80" t="s">
        <v>74</v>
      </c>
      <c r="F10" s="82" t="s">
        <v>73</v>
      </c>
    </row>
    <row r="11" spans="2:6" ht="47.25" x14ac:dyDescent="0.2">
      <c r="B11" s="398"/>
      <c r="C11" s="400" t="s">
        <v>21</v>
      </c>
      <c r="D11" s="79" t="s">
        <v>22</v>
      </c>
      <c r="E11" s="80" t="s">
        <v>75</v>
      </c>
      <c r="F11" s="82" t="s">
        <v>73</v>
      </c>
    </row>
    <row r="12" spans="2:6" ht="47.25" x14ac:dyDescent="0.2">
      <c r="B12" s="398"/>
      <c r="C12" s="400"/>
      <c r="D12" s="79" t="s">
        <v>23</v>
      </c>
      <c r="E12" s="80" t="s">
        <v>76</v>
      </c>
      <c r="F12" s="82" t="s">
        <v>73</v>
      </c>
    </row>
    <row r="13" spans="2:6" ht="31.5" x14ac:dyDescent="0.2">
      <c r="B13" s="398"/>
      <c r="C13" s="400" t="s">
        <v>24</v>
      </c>
      <c r="D13" s="79" t="s">
        <v>118</v>
      </c>
      <c r="E13" s="80" t="s">
        <v>121</v>
      </c>
      <c r="F13" s="82" t="s">
        <v>73</v>
      </c>
    </row>
    <row r="14" spans="2:6" ht="32.25" thickBot="1" x14ac:dyDescent="0.25">
      <c r="B14" s="401"/>
      <c r="C14" s="402"/>
      <c r="D14" s="83" t="s">
        <v>119</v>
      </c>
      <c r="E14" s="84" t="s">
        <v>120</v>
      </c>
      <c r="F14" s="85" t="s">
        <v>73</v>
      </c>
    </row>
    <row r="15" spans="2:6" ht="49.5" customHeight="1" x14ac:dyDescent="0.2">
      <c r="B15" s="394" t="s">
        <v>155</v>
      </c>
      <c r="C15" s="394"/>
      <c r="D15" s="394"/>
      <c r="E15" s="394"/>
      <c r="F15" s="394"/>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036C39-572B-45B3-8B2F-B07B8BE6D721}">
  <ds:schemaRefs>
    <ds:schemaRef ds:uri="http://schemas.microsoft.com/sharepoint/v3/contenttype/forms"/>
  </ds:schemaRefs>
</ds:datastoreItem>
</file>

<file path=customXml/itemProps2.xml><?xml version="1.0" encoding="utf-8"?>
<ds:datastoreItem xmlns:ds="http://schemas.openxmlformats.org/officeDocument/2006/customXml" ds:itemID="{B0891A2D-6E5A-4DE8-A935-4DAB3BEDEAA4}">
  <ds:schemaRefs>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2006/metadata/properties"/>
    <ds:schemaRef ds:uri="1127acbe-e978-470f-969f-333cb0dcd145"/>
    <ds:schemaRef ds:uri="b55ffc4c-b392-4610-b856-514911c59727"/>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C8EB91F-1B51-448E-BE9E-003FFA365D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2022-12-16T16:32:46Z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