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17" documentId="11_86BCDF28B99F94B5E93C31943A22BBDD95AE7C90" xr6:coauthVersionLast="47" xr6:coauthVersionMax="47" xr10:uidLastSave="{A567AD11-C13C-4795-9BFD-D70C77A28456}"/>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1" l="1"/>
  <c r="Y15" i="1"/>
  <c r="V15" i="1"/>
  <c r="L15" i="1"/>
  <c r="V14" i="1"/>
  <c r="L14" i="1"/>
  <c r="M14" i="1" s="1"/>
  <c r="AC14" i="1" l="1"/>
  <c r="AE14" i="1" s="1"/>
  <c r="M15" i="1"/>
  <c r="AC15" i="1" s="1"/>
  <c r="AE15" i="1" s="1"/>
  <c r="AD14" i="1" l="1"/>
  <c r="AD15" i="1"/>
  <c r="L20" i="1" l="1"/>
  <c r="Y13" i="1" l="1"/>
  <c r="F221" i="13" l="1"/>
  <c r="F211" i="13"/>
  <c r="F212" i="13"/>
  <c r="F213" i="13"/>
  <c r="F214" i="13"/>
  <c r="F215" i="13"/>
  <c r="F216" i="13"/>
  <c r="F217" i="13"/>
  <c r="F218" i="13"/>
  <c r="F219" i="13"/>
  <c r="F220" i="13"/>
  <c r="F210" i="13"/>
  <c r="B221" i="13" a="1"/>
  <c r="B221" i="13" l="1"/>
  <c r="O14" i="1" l="1"/>
  <c r="P14" i="1" s="1"/>
  <c r="O15" i="1"/>
  <c r="P15"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5" i="1" l="1"/>
  <c r="AG15" i="1" s="1"/>
  <c r="AF15" i="1" s="1"/>
  <c r="AH15" i="1" s="1"/>
  <c r="R15" i="1"/>
  <c r="Q14" i="1"/>
  <c r="AG14" i="1" s="1"/>
  <c r="AF14" i="1" s="1"/>
  <c r="AH14" i="1" s="1"/>
  <c r="R14" i="1"/>
  <c r="L13" i="1"/>
  <c r="V13" i="1"/>
  <c r="M13" i="1" l="1"/>
  <c r="AC13" i="1" s="1"/>
  <c r="AD13" i="1" l="1"/>
  <c r="AE13"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3" i="1" l="1"/>
  <c r="P13"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3" i="1"/>
  <c r="R38" i="18"/>
  <c r="AJ38" i="18"/>
  <c r="L38" i="18"/>
  <c r="AD6" i="18"/>
  <c r="R6" i="18"/>
  <c r="AJ30" i="18"/>
  <c r="R30" i="18"/>
  <c r="AD22" i="18"/>
  <c r="AJ14" i="18"/>
  <c r="AJ22" i="18"/>
  <c r="AD14" i="18"/>
  <c r="X38" i="18"/>
  <c r="X14" i="18"/>
  <c r="R22" i="18"/>
  <c r="X22" i="18"/>
  <c r="Q13"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3" i="1" l="1"/>
  <c r="AF13"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3"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<sst xmlns="http://schemas.openxmlformats.org/spreadsheetml/2006/main" count="436" uniqueCount="288">
  <si>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</si>
  <si>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</si>
  <si>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</si>
  <si>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</si>
  <si>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</si>
  <si>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</si>
  <si>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</si>
  <si>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</si>
  <si>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</si>
  <si>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</si>
  <si>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</si>
  <si>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</si>
  <si>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</si>
  <si>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</si>
  <si>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</si>
  <si>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</si>
  <si>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</si>
  <si>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</si>
  <si>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</si>
  <si>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</si>
  <si>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</si>
  <si>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</si>
  <si>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</si>
  <si>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</si>
  <si>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</si>
  <si>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</si>
  <si>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</si>
  <si>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</si>
  <si>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</si>
  <si>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</si>
  <si>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</si>
  <si>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</si>
  <si>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</si>
  <si>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</si>
  <si>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</si>
  <si>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</si>
  <si>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</si>
  <si>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</si>
  <si>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</si>
  <si>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</si>
  <si>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</si>
  <si>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</si>
  <si>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</si>
  <si>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</si>
  <si>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</si>
  <si>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</si>
  <si>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</si>
  <si>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</si>
  <si>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</si>
  <si>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</si>
  <si>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</si>
  <si>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</si>
  <si>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</si>
  <si>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</si>
  <si>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</si>
  <si>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</si>
  <si>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</si>
  <si>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</si>
  <si>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</si>
  <si>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</si>
  <si>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</si>
  <si>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</si>
  <si>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</si>
  <si>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</si>
  <si>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</si>
  <si>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</si>
  <si>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Objetivo:</t>
  </si>
  <si>
    <t>Ofrecer una educación integral con calidad y excelencia, a través de la implementación de estrategias y metodologías de aprendizaje técnico-académicas, que promuevan la construcción de conocimiento y talento humano.</t>
  </si>
  <si>
    <t>Alcance:</t>
  </si>
  <si>
    <t>Inicia con la planeación institucional y finaliza con la promoción de los estudiantes.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</si>
  <si>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</si>
  <si>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</si>
  <si>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</si>
  <si>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</si>
  <si>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</si>
  <si>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</si>
  <si>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</si>
  <si>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</si>
  <si>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</si>
  <si>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</si>
  <si>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</si>
  <si>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</si>
  <si>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</si>
  <si>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</si>
  <si>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</si>
  <si>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</si>
  <si>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</si>
  <si>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</si>
  <si>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</si>
  <si>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</si>
  <si>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</si>
  <si>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</si>
  <si>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</si>
  <si>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</si>
  <si>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</si>
  <si>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</si>
  <si>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</si>
  <si>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</si>
  <si>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</si>
  <si>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</si>
  <si>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</si>
  <si>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</si>
  <si>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</si>
  <si>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</si>
  <si>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Corrupción</t>
  </si>
  <si>
    <t>Procesos</t>
  </si>
  <si>
    <t>Económico y Reputacional</t>
  </si>
  <si>
    <t>Omisión en los requisitos de los estudiantes aspirantes</t>
  </si>
  <si>
    <t>Fraude Interno</t>
  </si>
  <si>
    <t>Servicios</t>
  </si>
  <si>
    <t>Integridad</t>
  </si>
  <si>
    <t xml:space="preserve">     El riesgo afecta la imagen de alguna área de la organización</t>
  </si>
  <si>
    <t>Preventivo</t>
  </si>
  <si>
    <t>Manual</t>
  </si>
  <si>
    <t>Documentado</t>
  </si>
  <si>
    <t>Continua</t>
  </si>
  <si>
    <t>Con Registro</t>
  </si>
  <si>
    <t>Reducir (mitigar)</t>
  </si>
  <si>
    <t>Verificar  los documentos de los aspirantes</t>
  </si>
  <si>
    <t>Hno. Fernando Luque Olaya</t>
  </si>
  <si>
    <t>Octubre de 2022</t>
  </si>
  <si>
    <t>Teniendo en cuenta que el proceso de admisiones inicia en el mes de agosto, en este momento no aplica el seguimiento.</t>
  </si>
  <si>
    <t>En curso</t>
  </si>
  <si>
    <t>Desde la Dirección del IBTI se muestra el listado completo de los aspirantes a ingresar en la vigencia 2022 (456 aspirantes), en este sentido, se verificaron de manera aleatoria los documentos que deben presentar en calidad de aspirantes 1. Fotocopia de documento de identidad, 2. Boletín de último periodo cursado, 3. Formato de Psicología. 
Riesgo no materializado a la fecha
.</t>
  </si>
  <si>
    <t>Estratégico</t>
  </si>
  <si>
    <t>Ejecucion y Administracion de procesos</t>
  </si>
  <si>
    <t>Aleatoria</t>
  </si>
  <si>
    <t>Socializar los documentos SIEE y Manual de Convivencia</t>
  </si>
  <si>
    <t xml:space="preserve">Directores de curso y coordinadores </t>
  </si>
  <si>
    <t>Enero de 2022</t>
  </si>
  <si>
    <t>La socialización del Manual de Convivencia y del SIEE con padres de familia se realizó  en la primera asamble del día 2 de febrero de manera virtual a través de un formulario de forms.   Se hizo énfasis en las actualizaciones de los documentos.  En Dirección de curso los profesores dirigieron un taller de socialización del SIEE  y del Manual de Convivencia con los estudiantes el 25 de enero.  Se realizaron talleres de profundización de los documentos Manual de Convivencia y SIEE con padres de familia y estudiantes los días 4, 5 y 6 de abril. El 22 de abril se realizó un taller sobre situaciones de convivencia en la socialización de los informes.</t>
  </si>
  <si>
    <t xml:space="preserve">Como parte de las actividades de inducción y reinducción, a través de actividades de socialización del 20 de enero 2022, se dio a conocer el Sistema Institucional de Evaluación a Estudiantes – SIEE, en dichas actividades 55 docentes verificado con evidencia audio visual de la sesión realizada. 
El 12 de enero se realizó con estudiantes: Se hace mención y se muestra el documento base mediante el cual se realizó el proceso de socialización, sin embargo, no se evidencia listas de asistencia a la sesión. 
</t>
  </si>
  <si>
    <t xml:space="preserve">Planeación inadecuada de la programación académica </t>
  </si>
  <si>
    <t>Incoherencia entre el plan de área y plan de asignatura</t>
  </si>
  <si>
    <t>Usuarios, productos y practicas , organizacionales</t>
  </si>
  <si>
    <t>Disponibilidad</t>
  </si>
  <si>
    <t xml:space="preserve">     Afectación menor a 10 SMLMV .</t>
  </si>
  <si>
    <t xml:space="preserve">Plan de Área y Plan de Asignatura </t>
  </si>
  <si>
    <t>El líder del proceso revisará la coherencia entre el Plan de Área y el Plan de Asignatura y consolidará las respectivas evidencias</t>
  </si>
  <si>
    <t>Para articular el Plan de Área y el Plan de Asignatura se desarrollaron las guías Nos 5, 6 y 7  orientando el diseño educativo, basados en la socialización de las prácticas exitosas de cada área y se definieron los ajustes.</t>
  </si>
  <si>
    <t xml:space="preserve">Desde el IBTI, se evidencia la correcta articulación entre las diferentes 13 áreas de conocimiento integradas en el plan de estudios y sus respectivas 16 asignaturas, esta articulación se verifica a través de los planes de área, en este sentido se evidencia los objetivos específicos y generales, el enfoque para cada uno de los grados de 6° a 11°. 
Riesgo no materializado a la fecha. 
</t>
  </si>
  <si>
    <t>Reputacional</t>
  </si>
  <si>
    <t xml:space="preserve">     El riesgo afecta la imagen de la entidad internamente, de conocimiento general, nivel interno, de junta dircetiva y accionistas y/o de provedores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</si>
  <si>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</si>
  <si>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Hno. Fernando Adolfo Luque Olaya</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</si>
  <si>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</si>
  <si>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</si>
  <si>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</si>
  <si>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</si>
  <si>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</si>
  <si>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</si>
  <si>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</si>
  <si>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</si>
  <si>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</si>
  <si>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</si>
  <si>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</si>
  <si>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</si>
  <si>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</si>
  <si>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</si>
  <si>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Infraestructura</t>
  </si>
  <si>
    <t>Documental</t>
  </si>
  <si>
    <t>NA</t>
  </si>
  <si>
    <t>Gestión</t>
  </si>
  <si>
    <t>Talento humano</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</si>
  <si>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</si>
  <si>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</si>
  <si>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</si>
  <si>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</si>
  <si>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</si>
  <si>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</si>
  <si>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</si>
  <si>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</si>
  <si>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</si>
  <si>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</si>
  <si>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</si>
  <si>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</si>
  <si>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</si>
  <si>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</si>
  <si>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</si>
  <si>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</si>
  <si>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</si>
  <si>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</si>
  <si>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</si>
  <si>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</si>
  <si>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</si>
  <si>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</si>
  <si>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</si>
  <si>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</si>
  <si>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</si>
  <si>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</si>
  <si>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</si>
  <si>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</si>
  <si>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</si>
  <si>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</si>
  <si>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</si>
  <si>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</si>
  <si>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</si>
  <si>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</si>
  <si>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</si>
  <si>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</si>
  <si>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</si>
  <si>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</si>
  <si>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</si>
  <si>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</si>
  <si>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</si>
  <si>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</si>
  <si>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</si>
  <si>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</si>
  <si>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</si>
  <si>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</si>
  <si>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</si>
  <si>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</si>
  <si>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</si>
  <si>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</si>
  <si>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</si>
  <si>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</si>
  <si>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</si>
  <si>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</si>
  <si>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</si>
  <si>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</si>
  <si>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</si>
  <si>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</si>
  <si>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</si>
  <si>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</si>
  <si>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</si>
  <si>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</si>
  <si>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</si>
  <si>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</si>
  <si>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</si>
  <si>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</si>
  <si>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</si>
  <si>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</si>
  <si>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</si>
  <si>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</si>
  <si>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</si>
  <si>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</si>
  <si>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</si>
  <si>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</si>
  <si>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</si>
  <si>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</si>
  <si>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</si>
  <si>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</si>
  <si>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</si>
  <si>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</si>
  <si>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</si>
  <si>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</si>
  <si>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</si>
  <si>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</si>
  <si>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</si>
  <si>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</si>
  <si>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</si>
  <si>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</si>
  <si>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</si>
  <si>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</si>
  <si>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</si>
  <si>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</si>
  <si>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</si>
  <si>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</si>
  <si>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</si>
  <si>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</si>
  <si>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</si>
  <si>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</si>
  <si>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</si>
  <si>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</si>
  <si>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</si>
  <si>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Daños Activos Fisicos</t>
  </si>
  <si>
    <t>Fallas Tecnologicas</t>
  </si>
  <si>
    <t>Fraude Externo</t>
  </si>
  <si>
    <t>Relaciones Laborales</t>
  </si>
  <si>
    <t>Registro Sustancial</t>
  </si>
  <si>
    <t>Registro Material</t>
  </si>
  <si>
    <t>Sin registro</t>
  </si>
  <si>
    <t>Reducir</t>
  </si>
  <si>
    <t>Probabilidad de afectación reputacional debido a la planeación inadecuada de la programación académica por incoherencia entre el plan de área y plan de asigtatura</t>
  </si>
  <si>
    <t xml:space="preserve">Publicación de las actividades que hacen parte del proceso de admisiones.
</t>
  </si>
  <si>
    <t>Actas de Comité de Convivencia, evaluación de convivencias, listado de asistencia de las escuelas de padres y a talleres de psicología.</t>
  </si>
  <si>
    <t xml:space="preserve"> Cronograma del Proceso de Admisiones
Verificación de los documentos de los aspirantes
Publicación de los resultados de la prueba
la entrevista y aspirantes admitidos.</t>
  </si>
  <si>
    <t xml:space="preserve">Admitir aspirantes que no realizan el proceso de admisiones </t>
  </si>
  <si>
    <t>Probabilidad de afectación reputacional por admitir aspirantes que no realizan el proceso de admisión o no cumplen con los requisitos establecidos debido a omisión en los requisitos de los estudiantes aspirantes para beneficio propio o a favor de terceros</t>
  </si>
  <si>
    <t>Probabilidad de afectación reputacional por bajo clima escolar debido a la falta de  implementación de estrategias de seguimiento y acompañamiento integral a los estudiantes, encaminadas a fortalecer sus competencias.</t>
  </si>
  <si>
    <t>Bajo clima escolar</t>
  </si>
  <si>
    <t>Falta de  implementación de estrategias de seguimiento y acompañamiento integral a los estudiantes, encaminadas a fortalecer sus competencias.</t>
  </si>
  <si>
    <t>Realizar Direcciones de curso,  Convivencias, Escuelas de Padres, Talleres, reuniones del Comité de Convivencia Escolar y  campañas para disminuir la agresividad entre los integrantes de la Comunidad Educativa.  
Realizar seguimiento a través de la plataforma Gnosoft.</t>
  </si>
  <si>
    <t>El seguimiento a la validación de la prestación del servicio educativo a través del formato DIB-FO-11</t>
  </si>
  <si>
    <t>Se cuenta con la validadion del afrea de ciencias naturales del 31 de octubre,  de fecha 5 de septiembre de 2022, con el diligenciamiento del registro en el formato dispuesto DIBFO-11 el cual incluye registro fotografico, descripcion de las activdades  en los grados novenop y decimo de fecha 2 de septiembre el cual cuenta con las observaciones con evidencia fotografica, adicionalmente se hacen validaciones del adelanto de las tematicas impartidas a los estudiantes con la manifestacion y justificacion del docente  en el cual indica que debido a las bases de los estudiantes no permiten avanzar de acuerdo al cronograma dispuesto. Area ciencias naturales -asignatura biologia, asignatura lengua castellana y asignatura lengua castellna, en el cual se observa que en la casilla dispuesta para calificar el servisio prestado no esta diligenciado, del grado 1102 observando la falta de adelanto de un tema propuesto en desarrollo cinematografico, asi mismo se aclara que por ser un año que cuenta con modificaciones en temas de contrataciòn para el desarrollo de los grados los cronogramas de actividades academicas se tuvieron que adelantar con el fin de dar cumplimiento con el reporte de estudiante que se graduaran el proximo 7 de diciembre. n o obstante las actividades desarrollads en cuanto a la evaluacion del servicio prestado contribuyen con la mitigacion del riesgo identificado.</t>
  </si>
  <si>
    <t>se cuenta con el consolidado de listas de asistencias a las ferias universitarias en el mes de 20 octubre  con diferentes universidades, dirigida a los estudiantes de grados decimo y undecimo,asi mismo se rfealizo el taller del consumo de cigarrilllo electronico efectuado en el mes de octubre con la asistencia de 54 participantes, talleres de motivacion con estudiantes con bajo desempeño academico el dia 6 de octubre, socializacion de protocolos de convivencia ley 1620 de 2013 efectuada erl dia 20 de octubre enfocado a los docentes del IBTI, taller de salud sexual y reproductiva con el acompañamiento secretaria de salud distrital el dia 20 de septiembre para estudiantes de 6, 7 y 8, asi mismo se cuenta con el desarrollo de escuela de padrea a los grados 8 con responsabilidad penal para niños, niñas y adolescentes y aprender  acomunicarnos con el cuerpo el dia 29 de septiembre, de igual modo un taller de motivacion academica con el mismo grado, escuela de padrea con grado 7 de convivencia escolar y protocolos de responsabilidad penal.
De igual modop se realizo escuela sobre protocolos de atencion con los grados 601 al 608, en el mes de septiembre, escuela de padres de 901, 902, 903, protocolos de atencion a prender a comunicarnos con el cuerpo, taller enrutate, con la U del Rosario sobre orientacion vocacional del grado un decimo brindado el 12 de septiembre, taller proyectando mi futuro con relajacion del 2 de septiembre para grado undecimo, escuela de padres de 601, 602, 603 y 604 del 10 de agosto protocolos de atencion aprender a comunicarnos con el cuerpo, 
se cuenta con reunion de socializacion de manual de convivencia del mes de enero, asi mismo se realizo una reunion pñosterio para categorizar las situaciones de convivencia en el mes de abril de 2022, se cuenta con arboles de problemas,  con la guia desarrollada. asi mismo a gtraves del formato forms con la comunidad- (padres de familia) se ha desarrollado analisis de casos para el primer semestre con la participacion de 580 personas, se cuenta con el PIAR -plan individual de ajustes razonables  asi mismo se miden este tipo de situaciones con los padres de familia, midiendo conocimientos de manual de convivencia, salidas  pedagoigicas, consejos academicos, cumplimiento de deberes de los padres de familia, atencion de situaciones en atencion integral, a partir de la cual se han tomado acciones que permiten atender las situaciones identificadas, de igual modo, se cuenta con la encuenta de autoevaluacion con donde se califican las espectativas de la comunidad  con temas relacionados en gestion directiva, academica, administrativa y gestion comunitaria, lo cual permitira identificar cuales son las brechas entre la espectativa Vs la percepcion del IBTI. herramienta que pretende ser utilizada como base para el planteamiento de acciones a implementar en el 2023.
finalmente se evidncio que el comite de convivencia realizo diferentes reuniones en el  mes de mayo, con la directiva 01 de MEN de 2022 conla asistencia de 8 personas, informe de convivencia e informe de psicologia fueron socializados en esta sesion, sesion 2 del 25 de mayo con la socializacion de casos de convivencia escolar del IBTI,  sesion 3 del 15 de junio con los seguimientos efectuados a los casos reportados por convivencia escolar; finalmente el 4 de cotubre cuenta con la sesion 4 del comite donde se continua con el seguimiento a los casos de convicencia, actividades que congtribuyen con el control del riesgo identificado mitigando su materializacion.</t>
  </si>
  <si>
    <t>Se cuenta con la pñublicaion del cronograma de adminisiones para el IBTI del 2023 desde el 8 de agosto de 2022, aplicación de pruebas, publ.icacion de citas a pruebas, resultados de las pruebas de adminsiòn, en tgrega de documentos entrevista de aspirantes, publicacion de listado de admitidos, reunion de padres de familia, inducción, matriculas estas dos ultimas no cuentan con fecha establecida por que al la fecha de este seguimiento no se ha establecido el calendario del 2023, 248 admitidos para sexto 19 para septimos, 2 para octamos, 1 para novenos, observando que se amplio la oferta a estudiantes de otros grados con el fin de identificar aptitudes tecnicas y academicas. el personal asignado fue de ingenieria en sistema de genosoft, tesoreria para el recaudo, secretaria del ibti para el control de listados,  fue contratada para la prueba que vale con 60%  de conocimiento que conytribuye con el filtro,  a continuacion se asignaron 6 psicologos de la escuela, para la entgrega de loxs documen tos los psicologos revisan los documentos, para el momento de inscripciòn solo se solicita informaciòn basica, con el psicologo boletin y documento de identidad, posteriormente se requieren los documentos necesarios para la matricula, la reunion con los admitidos se realiza con el hno. rector, de la escuela, -hno. rector IBTI, ingenieros de gnosoft y proveedores de rutas y uniformes. el contratista los tres editores reporto el resultado de las pruebas aplicadas con ese resultado ponderado se observan los superiores a 60% con publicacion de todos los aspirantes,  la cual fue registrada en el portal web de la entidad, asi como el resultado de los aspirantes, con el resultado de admitidos  con la presentaciòn de los resultadpos de los grados novenos  en la nota final. actividades que contribuyen con el congtrol de la materializacion del riesgo.</t>
  </si>
  <si>
    <t>Fecha de actualización 17/11/2022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</si>
</sst>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0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4" fillId="0" borderId="71" xfId="0" applyFont="1" applyBorder="1" applyAlignment="1" applyProtection="1">
      <alignment vertical="center" wrapText="1"/>
      <protection hidden="1"/>
    </xf>
    <xf numFmtId="9" fontId="1" fillId="0" borderId="21" xfId="0" applyNumberFormat="1" applyFont="1" applyBorder="1" applyAlignment="1" applyProtection="1">
      <alignment vertical="top" wrapText="1"/>
      <protection hidden="1"/>
    </xf>
    <xf numFmtId="14" fontId="1" fillId="0" borderId="21" xfId="0" applyNumberFormat="1" applyFont="1" applyBorder="1" applyAlignment="1" applyProtection="1">
      <alignment horizontal="center" vertical="center" wrapText="1"/>
      <protection locked="0"/>
    </xf>
    <xf numFmtId="0" fontId="58" fillId="0" borderId="57" xfId="0" applyFont="1" applyBorder="1" applyAlignment="1" applyProtection="1">
      <alignment horizontal="center" vertical="top"/>
      <protection locked="0"/>
    </xf>
    <xf numFmtId="0" fontId="46" fillId="0" borderId="0" xfId="0" applyFont="1" applyAlignment="1">
      <alignment vertical="top" wrapText="1"/>
    </xf>
    <xf numFmtId="0" fontId="0" fillId="0" borderId="0" xfId="0" applyAlignment="1">
      <alignment vertical="top" wrapText="1"/>
    </xf>
    <xf numFmtId="0" fontId="66" fillId="0" borderId="0" xfId="0" applyFont="1" applyAlignment="1">
      <alignment vertical="top" wrapText="1"/>
    </xf>
    <xf numFmtId="0" fontId="1" fillId="0" borderId="0" xfId="0" applyFont="1" applyAlignment="1">
      <alignment vertical="top"/>
    </xf>
    <xf numFmtId="0" fontId="1" fillId="0" borderId="21" xfId="0" applyFont="1" applyBorder="1" applyAlignment="1" applyProtection="1">
      <alignment horizontal="left" vertical="top" wrapText="1"/>
      <protection locked="0"/>
    </xf>
    <xf numFmtId="0" fontId="1" fillId="0" borderId="21" xfId="0" applyFont="1" applyBorder="1" applyAlignment="1">
      <alignment horizontal="left" vertical="center"/>
    </xf>
    <xf numFmtId="0" fontId="1" fillId="0" borderId="2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9" fontId="1" fillId="0" borderId="21" xfId="0" applyNumberFormat="1" applyFont="1" applyBorder="1" applyAlignment="1" applyProtection="1">
      <alignment horizontal="left" vertical="top" wrapText="1"/>
      <protection hidden="1"/>
    </xf>
    <xf numFmtId="0" fontId="4" fillId="0" borderId="71" xfId="0" applyFont="1" applyBorder="1" applyAlignment="1" applyProtection="1">
      <alignment horizontal="left" vertical="center" wrapText="1"/>
      <protection hidden="1"/>
    </xf>
    <xf numFmtId="0" fontId="4"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center"/>
      <protection hidden="1"/>
    </xf>
    <xf numFmtId="0" fontId="4" fillId="0" borderId="21" xfId="0" applyFont="1" applyBorder="1" applyAlignment="1" applyProtection="1">
      <alignment horizontal="left" vertical="top" textRotation="90"/>
      <protection hidden="1"/>
    </xf>
    <xf numFmtId="14"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protection locked="0"/>
    </xf>
    <xf numFmtId="0" fontId="1" fillId="3" borderId="0" xfId="0" applyFont="1" applyFill="1" applyAlignment="1">
      <alignment horizontal="left"/>
    </xf>
    <xf numFmtId="0" fontId="1" fillId="0" borderId="0" xfId="0" applyFont="1" applyAlignment="1">
      <alignment horizontal="left"/>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6" fillId="0" borderId="70" xfId="0" applyFont="1" applyBorder="1" applyAlignment="1">
      <alignment horizontal="center" vertical="center" wrapText="1"/>
    </xf>
    <xf numFmtId="0" fontId="61" fillId="7" borderId="21" xfId="0" applyFont="1" applyFill="1" applyBorder="1" applyAlignment="1">
      <alignment horizontal="center" vertical="top" wrapText="1"/>
    </xf>
    <xf numFmtId="0" fontId="61" fillId="7" borderId="21" xfId="0" applyFont="1" applyFill="1" applyBorder="1" applyAlignment="1">
      <alignment horizontal="center" vertical="center" textRotation="90"/>
    </xf>
    <xf numFmtId="0" fontId="36" fillId="15" borderId="33"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1" fillId="0" borderId="0" xfId="0" applyFont="1" applyAlignment="1">
      <alignment horizontal="center"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4" fillId="0" borderId="21" xfId="0" applyFont="1" applyBorder="1" applyAlignment="1">
      <alignment horizontal="left" vertical="center" wrapText="1"/>
    </xf>
    <xf numFmtId="0" fontId="61" fillId="7" borderId="21" xfId="0" applyFont="1" applyFill="1" applyBorder="1" applyAlignment="1">
      <alignment horizontal="center" vertical="top"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57" fillId="0" borderId="21" xfId="0" applyFont="1" applyBorder="1" applyAlignment="1">
      <alignment horizontal="left" vertical="center"/>
    </xf>
    <xf numFmtId="0" fontId="34" fillId="0" borderId="72" xfId="0" applyFont="1" applyBorder="1" applyAlignment="1">
      <alignment horizontal="left" vertical="center"/>
    </xf>
    <xf numFmtId="0" fontId="34" fillId="0" borderId="40" xfId="0" applyFont="1" applyBorder="1" applyAlignment="1">
      <alignment horizontal="left" vertical="center"/>
    </xf>
    <xf numFmtId="0" fontId="34" fillId="0" borderId="68" xfId="0" applyFont="1" applyBorder="1" applyAlignment="1">
      <alignment horizontal="left" vertical="center"/>
    </xf>
    <xf numFmtId="0" fontId="34" fillId="0" borderId="67" xfId="0" applyFont="1" applyBorder="1" applyAlignment="1">
      <alignment horizontal="left" vertical="center"/>
    </xf>
    <xf numFmtId="0" fontId="34" fillId="0" borderId="69" xfId="0" applyFont="1" applyBorder="1" applyAlignment="1">
      <alignment horizontal="left" vertical="center"/>
    </xf>
    <xf numFmtId="0" fontId="60" fillId="0" borderId="68" xfId="0" applyFont="1" applyBorder="1" applyAlignment="1">
      <alignment horizontal="center" vertical="center"/>
    </xf>
    <xf numFmtId="0" fontId="60" fillId="0" borderId="67" xfId="0" applyFont="1" applyBorder="1" applyAlignment="1">
      <alignment horizontal="center" vertical="center"/>
    </xf>
    <xf numFmtId="0" fontId="60" fillId="0" borderId="69"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149679</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1387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OneDrive%20-%20Escuela%20Tecnologica%20Instituto%20Tecnico%20Central/A.%20Vigencia%202022/RIESGOS%202022/recop.%20Mapa%20de%20riesgos%202022/M.PT.R.GEST.REC.F&#205;S.2022.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S\Downloads\MAPA%20DE%20RIESGOS%20IBTI%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206" t="s">
        <v>0</v>
      </c>
      <c r="C2" s="207"/>
      <c r="D2" s="207"/>
      <c r="E2" s="207"/>
      <c r="F2" s="207"/>
      <c r="G2" s="207"/>
      <c r="H2" s="208"/>
    </row>
    <row r="3" spans="2:8" x14ac:dyDescent="0.25">
      <c r="B3" s="76"/>
      <c r="C3" s="77"/>
      <c r="D3" s="77"/>
      <c r="E3" s="77"/>
      <c r="F3" s="77"/>
      <c r="G3" s="77"/>
      <c r="H3" s="78"/>
    </row>
    <row r="4" spans="2:8" ht="63" customHeight="1" x14ac:dyDescent="0.25">
      <c r="B4" s="209" t="s">
        <v>1</v>
      </c>
      <c r="C4" s="210"/>
      <c r="D4" s="210"/>
      <c r="E4" s="210"/>
      <c r="F4" s="210"/>
      <c r="G4" s="210"/>
      <c r="H4" s="211"/>
    </row>
    <row r="5" spans="2:8" ht="63" customHeight="1" x14ac:dyDescent="0.25">
      <c r="B5" s="212"/>
      <c r="C5" s="213"/>
      <c r="D5" s="213"/>
      <c r="E5" s="213"/>
      <c r="F5" s="213"/>
      <c r="G5" s="213"/>
      <c r="H5" s="214"/>
    </row>
    <row r="6" spans="2:8" ht="16.5" x14ac:dyDescent="0.25">
      <c r="B6" s="215" t="s">
        <v>2</v>
      </c>
      <c r="C6" s="216"/>
      <c r="D6" s="216"/>
      <c r="E6" s="216"/>
      <c r="F6" s="216"/>
      <c r="G6" s="216"/>
      <c r="H6" s="217"/>
    </row>
    <row r="7" spans="2:8" ht="95.25" customHeight="1" x14ac:dyDescent="0.25">
      <c r="B7" s="225" t="s">
        <v>3</v>
      </c>
      <c r="C7" s="226"/>
      <c r="D7" s="226"/>
      <c r="E7" s="226"/>
      <c r="F7" s="226"/>
      <c r="G7" s="226"/>
      <c r="H7" s="227"/>
    </row>
    <row r="8" spans="2:8" ht="16.5" x14ac:dyDescent="0.25">
      <c r="B8" s="108"/>
      <c r="C8" s="109"/>
      <c r="D8" s="109"/>
      <c r="E8" s="109"/>
      <c r="F8" s="109"/>
      <c r="G8" s="109"/>
      <c r="H8" s="110"/>
    </row>
    <row r="9" spans="2:8" ht="16.5" customHeight="1" x14ac:dyDescent="0.25">
      <c r="B9" s="218" t="s">
        <v>4</v>
      </c>
      <c r="C9" s="219"/>
      <c r="D9" s="219"/>
      <c r="E9" s="219"/>
      <c r="F9" s="219"/>
      <c r="G9" s="219"/>
      <c r="H9" s="220"/>
    </row>
    <row r="10" spans="2:8" ht="44.25" customHeight="1" x14ac:dyDescent="0.25">
      <c r="B10" s="218"/>
      <c r="C10" s="219"/>
      <c r="D10" s="219"/>
      <c r="E10" s="219"/>
      <c r="F10" s="219"/>
      <c r="G10" s="219"/>
      <c r="H10" s="220"/>
    </row>
    <row r="11" spans="2:8" ht="15.75" thickBot="1" x14ac:dyDescent="0.3">
      <c r="B11" s="97"/>
      <c r="C11" s="100"/>
      <c r="D11" s="105"/>
      <c r="E11" s="106"/>
      <c r="F11" s="106"/>
      <c r="G11" s="107"/>
      <c r="H11" s="101"/>
    </row>
    <row r="12" spans="2:8" ht="15.75" thickTop="1" x14ac:dyDescent="0.25">
      <c r="B12" s="97"/>
      <c r="C12" s="221" t="s">
        <v>5</v>
      </c>
      <c r="D12" s="222"/>
      <c r="E12" s="223" t="s">
        <v>6</v>
      </c>
      <c r="F12" s="224"/>
      <c r="G12" s="100"/>
      <c r="H12" s="101"/>
    </row>
    <row r="13" spans="2:8" ht="35.25" customHeight="1" x14ac:dyDescent="0.25">
      <c r="B13" s="97"/>
      <c r="C13" s="193" t="s">
        <v>7</v>
      </c>
      <c r="D13" s="194"/>
      <c r="E13" s="195" t="s">
        <v>8</v>
      </c>
      <c r="F13" s="196"/>
      <c r="G13" s="100"/>
      <c r="H13" s="101"/>
    </row>
    <row r="14" spans="2:8" ht="17.25" customHeight="1" x14ac:dyDescent="0.25">
      <c r="B14" s="97"/>
      <c r="C14" s="193" t="s">
        <v>9</v>
      </c>
      <c r="D14" s="194"/>
      <c r="E14" s="195" t="s">
        <v>10</v>
      </c>
      <c r="F14" s="196"/>
      <c r="G14" s="100"/>
      <c r="H14" s="101"/>
    </row>
    <row r="15" spans="2:8" ht="19.5" customHeight="1" x14ac:dyDescent="0.25">
      <c r="B15" s="97"/>
      <c r="C15" s="193" t="s">
        <v>11</v>
      </c>
      <c r="D15" s="194"/>
      <c r="E15" s="195" t="s">
        <v>12</v>
      </c>
      <c r="F15" s="196"/>
      <c r="G15" s="100"/>
      <c r="H15" s="101"/>
    </row>
    <row r="16" spans="2:8" ht="69.75" customHeight="1" x14ac:dyDescent="0.25">
      <c r="B16" s="97"/>
      <c r="C16" s="193" t="s">
        <v>13</v>
      </c>
      <c r="D16" s="194"/>
      <c r="E16" s="195" t="s">
        <v>14</v>
      </c>
      <c r="F16" s="196"/>
      <c r="G16" s="100"/>
      <c r="H16" s="101"/>
    </row>
    <row r="17" spans="2:8" ht="34.5" customHeight="1" x14ac:dyDescent="0.25">
      <c r="B17" s="97"/>
      <c r="C17" s="197" t="s">
        <v>15</v>
      </c>
      <c r="D17" s="198"/>
      <c r="E17" s="189" t="s">
        <v>16</v>
      </c>
      <c r="F17" s="190"/>
      <c r="G17" s="100"/>
      <c r="H17" s="101"/>
    </row>
    <row r="18" spans="2:8" ht="27.75" customHeight="1" x14ac:dyDescent="0.25">
      <c r="B18" s="97"/>
      <c r="C18" s="197" t="s">
        <v>17</v>
      </c>
      <c r="D18" s="198"/>
      <c r="E18" s="189" t="s">
        <v>18</v>
      </c>
      <c r="F18" s="190"/>
      <c r="G18" s="100"/>
      <c r="H18" s="101"/>
    </row>
    <row r="19" spans="2:8" ht="28.5" customHeight="1" x14ac:dyDescent="0.25">
      <c r="B19" s="97"/>
      <c r="C19" s="197" t="s">
        <v>19</v>
      </c>
      <c r="D19" s="198"/>
      <c r="E19" s="189" t="s">
        <v>20</v>
      </c>
      <c r="F19" s="190"/>
      <c r="G19" s="100"/>
      <c r="H19" s="101"/>
    </row>
    <row r="20" spans="2:8" ht="72.75" customHeight="1" x14ac:dyDescent="0.25">
      <c r="B20" s="97"/>
      <c r="C20" s="197" t="s">
        <v>21</v>
      </c>
      <c r="D20" s="198"/>
      <c r="E20" s="189" t="s">
        <v>22</v>
      </c>
      <c r="F20" s="190"/>
      <c r="G20" s="100"/>
      <c r="H20" s="101"/>
    </row>
    <row r="21" spans="2:8" ht="64.5" customHeight="1" x14ac:dyDescent="0.25">
      <c r="B21" s="97"/>
      <c r="C21" s="197" t="s">
        <v>23</v>
      </c>
      <c r="D21" s="198"/>
      <c r="E21" s="189" t="s">
        <v>24</v>
      </c>
      <c r="F21" s="190"/>
      <c r="G21" s="100"/>
      <c r="H21" s="101"/>
    </row>
    <row r="22" spans="2:8" ht="71.25" customHeight="1" x14ac:dyDescent="0.25">
      <c r="B22" s="97"/>
      <c r="C22" s="197" t="s">
        <v>25</v>
      </c>
      <c r="D22" s="198"/>
      <c r="E22" s="189" t="s">
        <v>26</v>
      </c>
      <c r="F22" s="190"/>
      <c r="G22" s="100"/>
      <c r="H22" s="101"/>
    </row>
    <row r="23" spans="2:8" ht="55.5" customHeight="1" x14ac:dyDescent="0.25">
      <c r="B23" s="97"/>
      <c r="C23" s="191" t="s">
        <v>27</v>
      </c>
      <c r="D23" s="192"/>
      <c r="E23" s="189" t="s">
        <v>28</v>
      </c>
      <c r="F23" s="190"/>
      <c r="G23" s="100"/>
      <c r="H23" s="101"/>
    </row>
    <row r="24" spans="2:8" ht="42" customHeight="1" x14ac:dyDescent="0.25">
      <c r="B24" s="97"/>
      <c r="C24" s="191" t="s">
        <v>29</v>
      </c>
      <c r="D24" s="192"/>
      <c r="E24" s="189" t="s">
        <v>30</v>
      </c>
      <c r="F24" s="190"/>
      <c r="G24" s="100"/>
      <c r="H24" s="101"/>
    </row>
    <row r="25" spans="2:8" ht="59.25" customHeight="1" x14ac:dyDescent="0.25">
      <c r="B25" s="97"/>
      <c r="C25" s="191" t="s">
        <v>31</v>
      </c>
      <c r="D25" s="192"/>
      <c r="E25" s="189" t="s">
        <v>32</v>
      </c>
      <c r="F25" s="190"/>
      <c r="G25" s="100"/>
      <c r="H25" s="101"/>
    </row>
    <row r="26" spans="2:8" ht="23.25" customHeight="1" x14ac:dyDescent="0.25">
      <c r="B26" s="97"/>
      <c r="C26" s="191" t="s">
        <v>33</v>
      </c>
      <c r="D26" s="192"/>
      <c r="E26" s="189" t="s">
        <v>34</v>
      </c>
      <c r="F26" s="190"/>
      <c r="G26" s="100"/>
      <c r="H26" s="101"/>
    </row>
    <row r="27" spans="2:8" ht="30.75" customHeight="1" x14ac:dyDescent="0.25">
      <c r="B27" s="97"/>
      <c r="C27" s="191" t="s">
        <v>35</v>
      </c>
      <c r="D27" s="192"/>
      <c r="E27" s="189" t="s">
        <v>36</v>
      </c>
      <c r="F27" s="190"/>
      <c r="G27" s="100"/>
      <c r="H27" s="101"/>
    </row>
    <row r="28" spans="2:8" ht="35.25" customHeight="1" x14ac:dyDescent="0.25">
      <c r="B28" s="97"/>
      <c r="C28" s="191" t="s">
        <v>37</v>
      </c>
      <c r="D28" s="192"/>
      <c r="E28" s="189" t="s">
        <v>38</v>
      </c>
      <c r="F28" s="190"/>
      <c r="G28" s="100"/>
      <c r="H28" s="101"/>
    </row>
    <row r="29" spans="2:8" ht="33" customHeight="1" x14ac:dyDescent="0.25">
      <c r="B29" s="97"/>
      <c r="C29" s="191" t="s">
        <v>37</v>
      </c>
      <c r="D29" s="192"/>
      <c r="E29" s="189" t="s">
        <v>38</v>
      </c>
      <c r="F29" s="190"/>
      <c r="G29" s="100"/>
      <c r="H29" s="101"/>
    </row>
    <row r="30" spans="2:8" ht="30" customHeight="1" x14ac:dyDescent="0.25">
      <c r="B30" s="97"/>
      <c r="C30" s="191" t="s">
        <v>39</v>
      </c>
      <c r="D30" s="192"/>
      <c r="E30" s="189" t="s">
        <v>40</v>
      </c>
      <c r="F30" s="190"/>
      <c r="G30" s="100"/>
      <c r="H30" s="101"/>
    </row>
    <row r="31" spans="2:8" ht="35.25" customHeight="1" x14ac:dyDescent="0.25">
      <c r="B31" s="97"/>
      <c r="C31" s="191" t="s">
        <v>41</v>
      </c>
      <c r="D31" s="192"/>
      <c r="E31" s="189" t="s">
        <v>42</v>
      </c>
      <c r="F31" s="190"/>
      <c r="G31" s="100"/>
      <c r="H31" s="101"/>
    </row>
    <row r="32" spans="2:8" ht="31.5" customHeight="1" x14ac:dyDescent="0.25">
      <c r="B32" s="97"/>
      <c r="C32" s="191" t="s">
        <v>43</v>
      </c>
      <c r="D32" s="192"/>
      <c r="E32" s="189" t="s">
        <v>44</v>
      </c>
      <c r="F32" s="190"/>
      <c r="G32" s="100"/>
      <c r="H32" s="101"/>
    </row>
    <row r="33" spans="2:8" ht="35.25" customHeight="1" x14ac:dyDescent="0.25">
      <c r="B33" s="97"/>
      <c r="C33" s="191" t="s">
        <v>45</v>
      </c>
      <c r="D33" s="192"/>
      <c r="E33" s="189" t="s">
        <v>46</v>
      </c>
      <c r="F33" s="190"/>
      <c r="G33" s="100"/>
      <c r="H33" s="101"/>
    </row>
    <row r="34" spans="2:8" ht="59.25" customHeight="1" x14ac:dyDescent="0.25">
      <c r="B34" s="97"/>
      <c r="C34" s="191" t="s">
        <v>47</v>
      </c>
      <c r="D34" s="192"/>
      <c r="E34" s="189" t="s">
        <v>48</v>
      </c>
      <c r="F34" s="190"/>
      <c r="G34" s="100"/>
      <c r="H34" s="101"/>
    </row>
    <row r="35" spans="2:8" ht="29.25" customHeight="1" x14ac:dyDescent="0.25">
      <c r="B35" s="97"/>
      <c r="C35" s="191" t="s">
        <v>49</v>
      </c>
      <c r="D35" s="192"/>
      <c r="E35" s="189" t="s">
        <v>50</v>
      </c>
      <c r="F35" s="190"/>
      <c r="G35" s="100"/>
      <c r="H35" s="101"/>
    </row>
    <row r="36" spans="2:8" ht="82.5" customHeight="1" x14ac:dyDescent="0.25">
      <c r="B36" s="97"/>
      <c r="C36" s="191" t="s">
        <v>51</v>
      </c>
      <c r="D36" s="192"/>
      <c r="E36" s="189" t="s">
        <v>52</v>
      </c>
      <c r="F36" s="190"/>
      <c r="G36" s="100"/>
      <c r="H36" s="101"/>
    </row>
    <row r="37" spans="2:8" ht="46.5" customHeight="1" x14ac:dyDescent="0.25">
      <c r="B37" s="97"/>
      <c r="C37" s="191" t="s">
        <v>53</v>
      </c>
      <c r="D37" s="192"/>
      <c r="E37" s="189" t="s">
        <v>54</v>
      </c>
      <c r="F37" s="190"/>
      <c r="G37" s="100"/>
      <c r="H37" s="101"/>
    </row>
    <row r="38" spans="2:8" ht="6.75" customHeight="1" thickBot="1" x14ac:dyDescent="0.3">
      <c r="B38" s="97"/>
      <c r="C38" s="202"/>
      <c r="D38" s="203"/>
      <c r="E38" s="204"/>
      <c r="F38" s="205"/>
      <c r="G38" s="100"/>
      <c r="H38" s="101"/>
    </row>
    <row r="39" spans="2:8" ht="15.75" thickTop="1" x14ac:dyDescent="0.25">
      <c r="B39" s="97"/>
      <c r="C39" s="98"/>
      <c r="D39" s="98"/>
      <c r="E39" s="99"/>
      <c r="F39" s="99"/>
      <c r="G39" s="100"/>
      <c r="H39" s="101"/>
    </row>
    <row r="40" spans="2:8" ht="21" customHeight="1" x14ac:dyDescent="0.25">
      <c r="B40" s="199" t="s">
        <v>55</v>
      </c>
      <c r="C40" s="200"/>
      <c r="D40" s="200"/>
      <c r="E40" s="200"/>
      <c r="F40" s="200"/>
      <c r="G40" s="200"/>
      <c r="H40" s="201"/>
    </row>
    <row r="41" spans="2:8" ht="20.25" customHeight="1" x14ac:dyDescent="0.25">
      <c r="B41" s="199" t="s">
        <v>56</v>
      </c>
      <c r="C41" s="200"/>
      <c r="D41" s="200"/>
      <c r="E41" s="200"/>
      <c r="F41" s="200"/>
      <c r="G41" s="200"/>
      <c r="H41" s="201"/>
    </row>
    <row r="42" spans="2:8" ht="20.25" customHeight="1" x14ac:dyDescent="0.25">
      <c r="B42" s="199" t="s">
        <v>57</v>
      </c>
      <c r="C42" s="200"/>
      <c r="D42" s="200"/>
      <c r="E42" s="200"/>
      <c r="F42" s="200"/>
      <c r="G42" s="200"/>
      <c r="H42" s="201"/>
    </row>
    <row r="43" spans="2:8" ht="20.25" customHeight="1" x14ac:dyDescent="0.25">
      <c r="B43" s="199" t="s">
        <v>58</v>
      </c>
      <c r="C43" s="200"/>
      <c r="D43" s="200"/>
      <c r="E43" s="200"/>
      <c r="F43" s="200"/>
      <c r="G43" s="200"/>
      <c r="H43" s="201"/>
    </row>
    <row r="44" spans="2:8" x14ac:dyDescent="0.25">
      <c r="B44" s="199" t="s">
        <v>59</v>
      </c>
      <c r="C44" s="200"/>
      <c r="D44" s="200"/>
      <c r="E44" s="200"/>
      <c r="F44" s="200"/>
      <c r="G44" s="200"/>
      <c r="H44" s="201"/>
    </row>
    <row r="45" spans="2:8" ht="15.75" thickBot="1" x14ac:dyDescent="0.3">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112</v>
      </c>
    </row>
    <row r="4" spans="1:1" x14ac:dyDescent="0.2">
      <c r="A4" s="7" t="s">
        <v>241</v>
      </c>
    </row>
    <row r="5" spans="1:1" x14ac:dyDescent="0.2">
      <c r="A5" s="7" t="s">
        <v>243</v>
      </c>
    </row>
    <row r="6" spans="1:1" x14ac:dyDescent="0.2">
      <c r="A6" s="7" t="s">
        <v>245</v>
      </c>
    </row>
    <row r="7" spans="1:1" x14ac:dyDescent="0.2">
      <c r="A7" s="7" t="s">
        <v>113</v>
      </c>
    </row>
    <row r="8" spans="1:1" x14ac:dyDescent="0.2">
      <c r="A8" s="7" t="s">
        <v>114</v>
      </c>
    </row>
    <row r="9" spans="1:1" x14ac:dyDescent="0.2">
      <c r="A9" s="7" t="s">
        <v>251</v>
      </c>
    </row>
    <row r="10" spans="1:1" x14ac:dyDescent="0.2">
      <c r="A10" s="7" t="s">
        <v>115</v>
      </c>
    </row>
    <row r="11" spans="1:1" x14ac:dyDescent="0.2">
      <c r="A11" s="7" t="s">
        <v>126</v>
      </c>
    </row>
    <row r="12" spans="1:1" x14ac:dyDescent="0.2">
      <c r="A12" s="7" t="s">
        <v>269</v>
      </c>
    </row>
    <row r="13" spans="1:1" x14ac:dyDescent="0.2">
      <c r="A13" s="7" t="s">
        <v>270</v>
      </c>
    </row>
    <row r="14" spans="1:1" x14ac:dyDescent="0.2">
      <c r="A14" s="7" t="s">
        <v>271</v>
      </c>
    </row>
    <row r="16" spans="1:1" x14ac:dyDescent="0.2">
      <c r="A16" s="7" t="s">
        <v>272</v>
      </c>
    </row>
    <row r="17" spans="1:1" x14ac:dyDescent="0.2">
      <c r="A17" s="7" t="s">
        <v>259</v>
      </c>
    </row>
    <row r="18" spans="1:1" x14ac:dyDescent="0.2">
      <c r="A18" s="7" t="s">
        <v>261</v>
      </c>
    </row>
    <row r="20" spans="1:1" x14ac:dyDescent="0.2">
      <c r="A20" s="7" t="s">
        <v>264</v>
      </c>
    </row>
    <row r="21" spans="1:1" x14ac:dyDescent="0.2">
      <c r="A21" s="7"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2"/>
  <sheetViews>
    <sheetView showGridLines="0" tabSelected="1" topLeftCell="G15" zoomScale="70" zoomScaleNormal="70" workbookViewId="0">
      <selection activeCell="P19" sqref="P19"/>
    </sheetView>
  </sheetViews>
  <sheetFormatPr baseColWidth="10" defaultColWidth="11.42578125" defaultRowHeight="16.5" x14ac:dyDescent="0.3"/>
  <cols>
    <col min="1" max="1" width="4.7109375" style="2" customWidth="1"/>
    <col min="2" max="3" width="12" style="2" customWidth="1"/>
    <col min="4" max="4" width="14.140625" style="2" customWidth="1"/>
    <col min="5" max="5" width="28.7109375" style="2" customWidth="1"/>
    <col min="6" max="6" width="22.42578125" style="2" customWidth="1"/>
    <col min="7" max="7" width="32.42578125" style="1" customWidth="1"/>
    <col min="8" max="8" width="10.7109375" style="4" customWidth="1"/>
    <col min="9" max="9" width="12.85546875" style="4" customWidth="1"/>
    <col min="10" max="10" width="10.85546875" style="4" customWidth="1"/>
    <col min="11" max="11" width="12.28515625" style="1" customWidth="1"/>
    <col min="12" max="12" width="16.42578125" style="1" customWidth="1"/>
    <col min="13" max="13" width="6.28515625" style="1" customWidth="1"/>
    <col min="14" max="14" width="27.28515625" style="1" customWidth="1"/>
    <col min="15" max="16" width="12.28515625" style="1" customWidth="1"/>
    <col min="17" max="17" width="6.28515625" style="1" customWidth="1"/>
    <col min="18" max="18" width="16" style="1" customWidth="1"/>
    <col min="19" max="19" width="5.7109375" style="4" customWidth="1"/>
    <col min="20" max="20" width="31" style="1" customWidth="1"/>
    <col min="21" max="21" width="18.5703125"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3"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14.7109375" style="1" customWidth="1"/>
    <col min="37" max="37" width="13.85546875" style="1" customWidth="1"/>
    <col min="38" max="38" width="12" style="1" customWidth="1"/>
    <col min="39" max="39" width="14.7109375" style="1" customWidth="1"/>
    <col min="40" max="40" width="61.7109375" style="155" customWidth="1"/>
    <col min="41" max="41" width="21" style="1" customWidth="1"/>
    <col min="42" max="42" width="14.140625" style="1" customWidth="1"/>
    <col min="43" max="43" width="58.7109375" style="1" customWidth="1"/>
    <col min="44" max="44" width="20.7109375" style="4" customWidth="1"/>
    <col min="45" max="45" width="15.42578125" style="1" customWidth="1"/>
    <col min="46" max="46" width="120.7109375" style="1" customWidth="1"/>
    <col min="47" max="47" width="17.28515625" style="1" customWidth="1"/>
    <col min="48" max="16384" width="11.42578125" style="1"/>
  </cols>
  <sheetData>
    <row r="1" spans="1:73" ht="27.75" customHeight="1" x14ac:dyDescent="0.3">
      <c r="A1" s="246"/>
      <c r="B1" s="246"/>
      <c r="C1" s="246"/>
      <c r="D1" s="246"/>
      <c r="E1" s="248" t="s">
        <v>60</v>
      </c>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9" t="s">
        <v>61</v>
      </c>
      <c r="AU1" s="249"/>
    </row>
    <row r="2" spans="1:73" ht="27.75" customHeight="1" x14ac:dyDescent="0.3">
      <c r="A2" s="246"/>
      <c r="B2" s="246"/>
      <c r="C2" s="246"/>
      <c r="D2" s="246"/>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t="s">
        <v>62</v>
      </c>
      <c r="AU2" s="249"/>
    </row>
    <row r="3" spans="1:73" ht="27.75" customHeight="1" x14ac:dyDescent="0.3">
      <c r="A3" s="246"/>
      <c r="B3" s="246"/>
      <c r="C3" s="246"/>
      <c r="D3" s="246"/>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9" t="s">
        <v>63</v>
      </c>
      <c r="AU3" s="249"/>
    </row>
    <row r="4" spans="1:73" ht="27.75" customHeight="1" x14ac:dyDescent="0.3">
      <c r="A4" s="246"/>
      <c r="B4" s="246"/>
      <c r="C4" s="246"/>
      <c r="D4" s="246"/>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9" t="s">
        <v>64</v>
      </c>
      <c r="AU4" s="249"/>
    </row>
    <row r="5" spans="1:73" ht="13.9" customHeight="1" x14ac:dyDescent="0.3">
      <c r="A5" s="143"/>
      <c r="B5" s="144"/>
      <c r="C5" s="144"/>
      <c r="D5" s="144"/>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51"/>
      <c r="AO5" s="145"/>
      <c r="AP5" s="145"/>
      <c r="AQ5" s="145"/>
      <c r="AR5" s="145"/>
      <c r="AS5" s="145"/>
      <c r="AT5" s="147"/>
      <c r="AU5" s="146"/>
    </row>
    <row r="6" spans="1:73" ht="26.25" customHeight="1" x14ac:dyDescent="0.3">
      <c r="A6" s="231" t="s">
        <v>65</v>
      </c>
      <c r="B6" s="232"/>
      <c r="C6" s="255"/>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7"/>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30" customHeight="1" x14ac:dyDescent="0.3">
      <c r="A7" s="231" t="s">
        <v>66</v>
      </c>
      <c r="B7" s="232"/>
      <c r="C7" s="252" t="s">
        <v>67</v>
      </c>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4"/>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24" customHeight="1" x14ac:dyDescent="0.3">
      <c r="A8" s="231" t="s">
        <v>68</v>
      </c>
      <c r="B8" s="232"/>
      <c r="C8" s="250" t="s">
        <v>69</v>
      </c>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33" t="s">
        <v>70</v>
      </c>
      <c r="B9" s="233"/>
      <c r="C9" s="233"/>
      <c r="D9" s="233"/>
      <c r="E9" s="234"/>
      <c r="F9" s="234"/>
      <c r="G9" s="234"/>
      <c r="H9" s="234"/>
      <c r="I9" s="234"/>
      <c r="J9" s="234"/>
      <c r="K9" s="234"/>
      <c r="L9" s="234" t="s">
        <v>71</v>
      </c>
      <c r="M9" s="234"/>
      <c r="N9" s="234"/>
      <c r="O9" s="234"/>
      <c r="P9" s="234"/>
      <c r="Q9" s="234"/>
      <c r="R9" s="234"/>
      <c r="S9" s="234" t="s">
        <v>72</v>
      </c>
      <c r="T9" s="234"/>
      <c r="U9" s="234"/>
      <c r="V9" s="234"/>
      <c r="W9" s="234"/>
      <c r="X9" s="234"/>
      <c r="Y9" s="234"/>
      <c r="Z9" s="234"/>
      <c r="AA9" s="234"/>
      <c r="AB9" s="234"/>
      <c r="AC9" s="234" t="s">
        <v>73</v>
      </c>
      <c r="AD9" s="234"/>
      <c r="AE9" s="234"/>
      <c r="AF9" s="234"/>
      <c r="AG9" s="234"/>
      <c r="AH9" s="234"/>
      <c r="AI9" s="234"/>
      <c r="AJ9" s="228" t="s">
        <v>74</v>
      </c>
      <c r="AK9" s="229"/>
      <c r="AL9" s="229"/>
      <c r="AM9" s="229"/>
      <c r="AN9" s="229"/>
      <c r="AO9" s="229"/>
      <c r="AP9" s="229"/>
      <c r="AQ9" s="229"/>
      <c r="AR9" s="229"/>
      <c r="AS9" s="229"/>
      <c r="AT9" s="229"/>
      <c r="AU9" s="229"/>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47" t="s">
        <v>75</v>
      </c>
      <c r="B10" s="233" t="s">
        <v>76</v>
      </c>
      <c r="C10" s="233" t="s">
        <v>77</v>
      </c>
      <c r="D10" s="233" t="s">
        <v>15</v>
      </c>
      <c r="E10" s="230" t="s">
        <v>17</v>
      </c>
      <c r="F10" s="230" t="s">
        <v>19</v>
      </c>
      <c r="G10" s="233" t="s">
        <v>21</v>
      </c>
      <c r="H10" s="230" t="s">
        <v>23</v>
      </c>
      <c r="I10" s="230" t="s">
        <v>78</v>
      </c>
      <c r="J10" s="230" t="s">
        <v>79</v>
      </c>
      <c r="K10" s="230" t="s">
        <v>80</v>
      </c>
      <c r="L10" s="230" t="s">
        <v>81</v>
      </c>
      <c r="M10" s="233" t="s">
        <v>82</v>
      </c>
      <c r="N10" s="230" t="s">
        <v>83</v>
      </c>
      <c r="O10" s="230" t="s">
        <v>84</v>
      </c>
      <c r="P10" s="230" t="s">
        <v>85</v>
      </c>
      <c r="Q10" s="233" t="s">
        <v>82</v>
      </c>
      <c r="R10" s="230" t="s">
        <v>29</v>
      </c>
      <c r="S10" s="235" t="s">
        <v>86</v>
      </c>
      <c r="T10" s="230" t="s">
        <v>31</v>
      </c>
      <c r="U10" s="230" t="s">
        <v>87</v>
      </c>
      <c r="V10" s="230" t="s">
        <v>33</v>
      </c>
      <c r="W10" s="230" t="s">
        <v>88</v>
      </c>
      <c r="X10" s="230"/>
      <c r="Y10" s="230"/>
      <c r="Z10" s="230"/>
      <c r="AA10" s="230"/>
      <c r="AB10" s="230"/>
      <c r="AC10" s="235" t="s">
        <v>89</v>
      </c>
      <c r="AD10" s="235" t="s">
        <v>90</v>
      </c>
      <c r="AE10" s="235" t="s">
        <v>82</v>
      </c>
      <c r="AF10" s="235" t="s">
        <v>91</v>
      </c>
      <c r="AG10" s="235" t="s">
        <v>82</v>
      </c>
      <c r="AH10" s="235" t="s">
        <v>92</v>
      </c>
      <c r="AI10" s="235" t="s">
        <v>49</v>
      </c>
      <c r="AJ10" s="230" t="s">
        <v>74</v>
      </c>
      <c r="AK10" s="230" t="s">
        <v>93</v>
      </c>
      <c r="AL10" s="230" t="s">
        <v>94</v>
      </c>
      <c r="AM10" s="230" t="s">
        <v>95</v>
      </c>
      <c r="AN10" s="245" t="s">
        <v>96</v>
      </c>
      <c r="AO10" s="230" t="s">
        <v>53</v>
      </c>
      <c r="AP10" s="230" t="s">
        <v>95</v>
      </c>
      <c r="AQ10" s="230" t="s">
        <v>97</v>
      </c>
      <c r="AR10" s="230" t="s">
        <v>53</v>
      </c>
      <c r="AS10" s="230" t="s">
        <v>95</v>
      </c>
      <c r="AT10" s="230" t="s">
        <v>98</v>
      </c>
      <c r="AU10" s="230" t="s">
        <v>53</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48.75" customHeight="1" x14ac:dyDescent="0.25">
      <c r="A11" s="247"/>
      <c r="B11" s="233"/>
      <c r="C11" s="233"/>
      <c r="D11" s="233"/>
      <c r="E11" s="230"/>
      <c r="F11" s="230"/>
      <c r="G11" s="233"/>
      <c r="H11" s="230"/>
      <c r="I11" s="230"/>
      <c r="J11" s="230"/>
      <c r="K11" s="230"/>
      <c r="L11" s="230"/>
      <c r="M11" s="233"/>
      <c r="N11" s="230"/>
      <c r="O11" s="230"/>
      <c r="P11" s="233"/>
      <c r="Q11" s="233"/>
      <c r="R11" s="230"/>
      <c r="S11" s="235"/>
      <c r="T11" s="230"/>
      <c r="U11" s="230"/>
      <c r="V11" s="230"/>
      <c r="W11" s="183" t="s">
        <v>76</v>
      </c>
      <c r="X11" s="183" t="s">
        <v>99</v>
      </c>
      <c r="Y11" s="183" t="s">
        <v>100</v>
      </c>
      <c r="Z11" s="183" t="s">
        <v>101</v>
      </c>
      <c r="AA11" s="183" t="s">
        <v>102</v>
      </c>
      <c r="AB11" s="183" t="s">
        <v>103</v>
      </c>
      <c r="AC11" s="235"/>
      <c r="AD11" s="235"/>
      <c r="AE11" s="235"/>
      <c r="AF11" s="235"/>
      <c r="AG11" s="235"/>
      <c r="AH11" s="235"/>
      <c r="AI11" s="235"/>
      <c r="AJ11" s="230"/>
      <c r="AK11" s="230"/>
      <c r="AL11" s="230"/>
      <c r="AM11" s="230"/>
      <c r="AN11" s="245"/>
      <c r="AO11" s="230"/>
      <c r="AP11" s="230"/>
      <c r="AQ11" s="230"/>
      <c r="AR11" s="230"/>
      <c r="AS11" s="230"/>
      <c r="AT11" s="230"/>
      <c r="AU11" s="230"/>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3" customFormat="1" ht="6" customHeight="1" x14ac:dyDescent="0.25">
      <c r="A12" s="183"/>
      <c r="B12" s="179"/>
      <c r="C12" s="179"/>
      <c r="D12" s="179"/>
      <c r="E12" s="178"/>
      <c r="F12" s="178"/>
      <c r="G12" s="179"/>
      <c r="H12" s="178"/>
      <c r="I12" s="178"/>
      <c r="J12" s="178"/>
      <c r="K12" s="178"/>
      <c r="L12" s="178"/>
      <c r="M12" s="179"/>
      <c r="N12" s="178"/>
      <c r="O12" s="178"/>
      <c r="P12" s="179"/>
      <c r="Q12" s="179"/>
      <c r="R12" s="178"/>
      <c r="S12" s="180"/>
      <c r="T12" s="178"/>
      <c r="U12" s="178"/>
      <c r="V12" s="178"/>
      <c r="W12" s="183"/>
      <c r="X12" s="183"/>
      <c r="Y12" s="183"/>
      <c r="Z12" s="183"/>
      <c r="AA12" s="183"/>
      <c r="AB12" s="183"/>
      <c r="AC12" s="180"/>
      <c r="AD12" s="180"/>
      <c r="AE12" s="180"/>
      <c r="AF12" s="180"/>
      <c r="AG12" s="180"/>
      <c r="AH12" s="180"/>
      <c r="AI12" s="180"/>
      <c r="AJ12" s="178"/>
      <c r="AK12" s="178"/>
      <c r="AL12" s="178"/>
      <c r="AM12" s="178"/>
      <c r="AN12" s="182"/>
      <c r="AO12" s="178"/>
      <c r="AP12" s="178"/>
      <c r="AQ12" s="178"/>
      <c r="AR12" s="178"/>
      <c r="AS12" s="178"/>
      <c r="AT12" s="178"/>
      <c r="AU12" s="178"/>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272.25" customHeight="1" x14ac:dyDescent="0.3">
      <c r="A13" s="112">
        <v>1</v>
      </c>
      <c r="B13" s="112" t="s">
        <v>104</v>
      </c>
      <c r="C13" s="112" t="s">
        <v>105</v>
      </c>
      <c r="D13" s="113" t="s">
        <v>141</v>
      </c>
      <c r="E13" s="113" t="s">
        <v>277</v>
      </c>
      <c r="F13" s="113" t="s">
        <v>107</v>
      </c>
      <c r="G13" s="114" t="s">
        <v>278</v>
      </c>
      <c r="H13" s="113" t="s">
        <v>108</v>
      </c>
      <c r="I13" s="113" t="s">
        <v>109</v>
      </c>
      <c r="J13" s="113" t="s">
        <v>110</v>
      </c>
      <c r="K13" s="115">
        <v>365</v>
      </c>
      <c r="L13" s="116" t="str">
        <f>IF(K13&lt;=0,"",IF(K13&lt;=2,"Muy Baja",IF(K13&lt;=24,"Baja",IF(K13&lt;=500,"Media",IF(K13&lt;=5000,"Alta","Muy Alta")))))</f>
        <v>Media</v>
      </c>
      <c r="M13" s="117">
        <f>IF(L13="","",IF(L13="Muy Baja",0.2,IF(L13="Baja",0.4,IF(L13="Media",0.6,IF(L13="Alta",0.8,IF(L13="Muy Alta",1,))))))</f>
        <v>0.6</v>
      </c>
      <c r="N13" s="118" t="s">
        <v>111</v>
      </c>
      <c r="O13" s="149" t="str">
        <f>IF(NOT(ISERROR(MATCH(N13,'Tabla Impacto'!$B$221:$B$223,0))),'Tabla Impacto'!$F$223&amp;"Por favor no seleccionar los criterios de impacto(Afectación Económica o presupuestal y Pérdida Reputacional)",N13)</f>
        <v xml:space="preserve">     El riesgo afecta la imagen de alguna área de la organización</v>
      </c>
      <c r="P13" s="148" t="str">
        <f>IF(OR(O13='[1]Tabla Impacto'!$C$11,O13='[1]Tabla Impacto'!$D$11),"Leve",IF(OR(O13='[1]Tabla Impacto'!$C$12,O13='[1]Tabla Impacto'!$D$12),"Menor",IF(OR(O13='[1]Tabla Impacto'!$C$13,O13='[1]Tabla Impacto'!$D$13),"Moderado",IF(OR(O13='[1]Tabla Impacto'!$C$14,O13='[1]Tabla Impacto'!$D$14),"Mayor",IF(OR(O13='[1]Tabla Impacto'!$C$15,O13='[1]Tabla Impacto'!$D$15),"Catastrófico","")))))</f>
        <v>Leve</v>
      </c>
      <c r="Q13" s="117">
        <f>IF(P13="","",IF(P13="Leve",0.2,IF(P13="Menor",0.4,IF(P13="Moderado",0.6,IF(P13="Mayor",0.8,IF(P13="Catastrófico",1,))))))</f>
        <v>0.2</v>
      </c>
      <c r="R13" s="119"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2">
        <v>1</v>
      </c>
      <c r="T13" s="120" t="s">
        <v>274</v>
      </c>
      <c r="U13" s="121" t="s">
        <v>276</v>
      </c>
      <c r="V13" s="122" t="str">
        <f>IF(OR(W13="Preventivo",W13="Detectivo"),"Probabilidad",IF(W13="Correctivo","Impacto",""))</f>
        <v>Probabilidad</v>
      </c>
      <c r="W13" s="123" t="s">
        <v>112</v>
      </c>
      <c r="X13" s="123" t="s">
        <v>113</v>
      </c>
      <c r="Y13" s="124" t="str">
        <f>IF(AND(W13="Preventivo",X13="Automático"),"50%",IF(AND(W13="Preventivo",X13="Manual"),"40%",IF(AND(W13="Detectivo",X13="Automático"),"40%",IF(AND(W13="Detectivo",X13="Manual"),"30%",IF(AND(W13="Correctivo",X13="Automático"),"35%",IF(AND(W13="Correctivo",X13="Manual"),"25%",""))))))</f>
        <v>40%</v>
      </c>
      <c r="Z13" s="123" t="s">
        <v>114</v>
      </c>
      <c r="AA13" s="123" t="s">
        <v>115</v>
      </c>
      <c r="AB13" s="123" t="s">
        <v>116</v>
      </c>
      <c r="AC13" s="125">
        <f>IFERROR(IF(V13="Probabilidad",(M13-(+M13*Y13)),IF(V13="Impacto",M13,"")),"")</f>
        <v>0.36</v>
      </c>
      <c r="AD13" s="126" t="str">
        <f>IFERROR(IF(AC13="","",IF(AC13&lt;=0.2,"Muy Baja",IF(AC13&lt;=0.4,"Baja",IF(AC13&lt;=0.6,"Media",IF(AC13&lt;=0.8,"Alta","Muy Alta"))))),"")</f>
        <v>Baja</v>
      </c>
      <c r="AE13" s="172">
        <f>+AC13</f>
        <v>0.36</v>
      </c>
      <c r="AF13" s="126" t="str">
        <f>IFERROR(IF(AG13="","",IF(AG13&lt;=0.2,"Leve",IF(AG13&lt;=0.4,"Menor",IF(AG13&lt;=0.6,"Moderado",IF(AG13&lt;=0.8,"Mayor","Catastrófico"))))),"")</f>
        <v>Leve</v>
      </c>
      <c r="AG13" s="172">
        <f>IFERROR(IF(V13="Impacto",(Q13-(+Q13*Y13)),IF(V13="Probabilidad",Q13,"")),"")</f>
        <v>0.2</v>
      </c>
      <c r="AH13" s="127"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Bajo</v>
      </c>
      <c r="AI13" s="123" t="s">
        <v>117</v>
      </c>
      <c r="AJ13" s="113" t="s">
        <v>118</v>
      </c>
      <c r="AK13" s="113" t="s">
        <v>119</v>
      </c>
      <c r="AL13" s="150" t="s">
        <v>120</v>
      </c>
      <c r="AM13" s="128">
        <v>44671</v>
      </c>
      <c r="AN13" s="156" t="s">
        <v>121</v>
      </c>
      <c r="AO13" s="115" t="s">
        <v>122</v>
      </c>
      <c r="AP13" s="128">
        <v>44798</v>
      </c>
      <c r="AQ13" s="113" t="s">
        <v>123</v>
      </c>
      <c r="AR13" s="115" t="s">
        <v>122</v>
      </c>
      <c r="AS13" s="128">
        <v>44882</v>
      </c>
      <c r="AT13" s="158" t="s">
        <v>286</v>
      </c>
      <c r="AU13" s="115" t="s">
        <v>264</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s="177" customFormat="1" ht="409.5" customHeight="1" x14ac:dyDescent="0.3">
      <c r="A14" s="157">
        <v>2</v>
      </c>
      <c r="B14" s="157" t="s">
        <v>124</v>
      </c>
      <c r="C14" s="157" t="s">
        <v>105</v>
      </c>
      <c r="D14" s="158" t="s">
        <v>141</v>
      </c>
      <c r="E14" s="159" t="s">
        <v>280</v>
      </c>
      <c r="F14" s="158" t="s">
        <v>281</v>
      </c>
      <c r="G14" s="188" t="s">
        <v>279</v>
      </c>
      <c r="H14" s="158" t="s">
        <v>125</v>
      </c>
      <c r="I14" s="158" t="s">
        <v>109</v>
      </c>
      <c r="J14" s="158" t="s">
        <v>110</v>
      </c>
      <c r="K14" s="160">
        <v>365</v>
      </c>
      <c r="L14" s="161" t="str">
        <f>IF(K14&lt;=0,"",IF(K14&lt;=2,"Muy Baja",IF(K14&lt;=24,"Baja",IF(K14&lt;=500,"Media",IF(K14&lt;=5000,"Alta","Muy Alta")))))</f>
        <v>Media</v>
      </c>
      <c r="M14" s="162">
        <f>IF(L14="","",IF(L14="Muy Baja",0.2,IF(L14="Baja",0.4,IF(L14="Media",0.6,IF(L14="Alta",0.8,IF(L14="Muy Alta",1,))))))</f>
        <v>0.6</v>
      </c>
      <c r="N14" s="163" t="s">
        <v>111</v>
      </c>
      <c r="O14" s="164" t="str">
        <f>IF(NOT(ISERROR(MATCH(N14,'Tabla Impacto'!$B$221:$B$223,0))),'Tabla Impacto'!$F$223&amp;"Por favor no seleccionar los criterios de impacto(Afectación Económica o presupuestal y Pérdida Reputacional)",N14)</f>
        <v xml:space="preserve">     El riesgo afecta la imagen de alguna área de la organización</v>
      </c>
      <c r="P14" s="165"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62">
        <f>IF(P14="","",IF(P14="Leve",0.2,IF(P14="Menor",0.4,IF(P14="Moderado",0.6,IF(P14="Mayor",0.8,IF(P14="Catastrófico",1,))))))</f>
        <v>0.2</v>
      </c>
      <c r="R14" s="166"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2">
        <v>1</v>
      </c>
      <c r="T14" s="121" t="s">
        <v>282</v>
      </c>
      <c r="U14" s="121" t="s">
        <v>275</v>
      </c>
      <c r="V14" s="167" t="str">
        <f>IF(OR(W14="Preventivo",W14="Detectivo"),"Probabilidad",IF(W14="Correctivo","Impacto",""))</f>
        <v>Probabilidad</v>
      </c>
      <c r="W14" s="168" t="s">
        <v>112</v>
      </c>
      <c r="X14" s="168" t="s">
        <v>113</v>
      </c>
      <c r="Y14" s="169" t="str">
        <f t="shared" ref="Y14:Y15" si="0">IF(AND(W14="Preventivo",X14="Automático"),"50%",IF(AND(W14="Preventivo",X14="Manual"),"40%",IF(AND(W14="Detectivo",X14="Automático"),"40%",IF(AND(W14="Detectivo",X14="Manual"),"30%",IF(AND(W14="Correctivo",X14="Automático"),"35%",IF(AND(W14="Correctivo",X14="Manual"),"25%",""))))))</f>
        <v>40%</v>
      </c>
      <c r="Z14" s="168" t="s">
        <v>114</v>
      </c>
      <c r="AA14" s="168" t="s">
        <v>126</v>
      </c>
      <c r="AB14" s="168" t="s">
        <v>116</v>
      </c>
      <c r="AC14" s="170">
        <f>IFERROR(IF(V14="Probabilidad",(M14-(+M14*Y14)),IF(V14="Impacto",M14,"")),"")</f>
        <v>0.36</v>
      </c>
      <c r="AD14" s="171" t="str">
        <f>IFERROR(IF(AC14="","",IF(AC14&lt;=0.2,"Muy Baja",IF(AC14&lt;=0.4,"Baja",IF(AC14&lt;=0.6,"Media",IF(AC14&lt;=0.8,"Alta","Muy Alta"))))),"")</f>
        <v>Baja</v>
      </c>
      <c r="AE14" s="172">
        <f>+AC14</f>
        <v>0.36</v>
      </c>
      <c r="AF14" s="171" t="str">
        <f>IFERROR(IF(AG14="","",IF(AG14&lt;=0.2,"Leve",IF(AG14&lt;=0.4,"Menor",IF(AG14&lt;=0.6,"Moderado",IF(AG14&lt;=0.8,"Mayor","Catastrófico"))))),"")</f>
        <v>Leve</v>
      </c>
      <c r="AG14" s="172">
        <f>IFERROR(IF(V14="Impacto",(Q14-(+Q14*Y14)),IF(V14="Probabilidad",Q14,"")),"")</f>
        <v>0.2</v>
      </c>
      <c r="AH14" s="17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68" t="s">
        <v>117</v>
      </c>
      <c r="AJ14" s="158" t="s">
        <v>127</v>
      </c>
      <c r="AK14" s="158" t="s">
        <v>128</v>
      </c>
      <c r="AL14" s="174" t="s">
        <v>129</v>
      </c>
      <c r="AM14" s="128">
        <v>44671</v>
      </c>
      <c r="AN14" s="156" t="s">
        <v>130</v>
      </c>
      <c r="AO14" s="115" t="s">
        <v>122</v>
      </c>
      <c r="AP14" s="128">
        <v>44798</v>
      </c>
      <c r="AQ14" s="158" t="s">
        <v>131</v>
      </c>
      <c r="AR14" s="115" t="s">
        <v>122</v>
      </c>
      <c r="AS14" s="175">
        <v>44882</v>
      </c>
      <c r="AT14" s="158" t="s">
        <v>285</v>
      </c>
      <c r="AU14" s="160" t="s">
        <v>264</v>
      </c>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row>
    <row r="15" spans="1:73" ht="202.5" customHeight="1" x14ac:dyDescent="0.3">
      <c r="A15" s="112">
        <v>3</v>
      </c>
      <c r="B15" s="112" t="s">
        <v>124</v>
      </c>
      <c r="C15" s="112" t="s">
        <v>105</v>
      </c>
      <c r="D15" s="113" t="s">
        <v>141</v>
      </c>
      <c r="E15" s="113" t="s">
        <v>132</v>
      </c>
      <c r="F15" s="113" t="s">
        <v>133</v>
      </c>
      <c r="G15" s="114" t="s">
        <v>273</v>
      </c>
      <c r="H15" s="113" t="s">
        <v>134</v>
      </c>
      <c r="I15" s="113" t="s">
        <v>109</v>
      </c>
      <c r="J15" s="113" t="s">
        <v>135</v>
      </c>
      <c r="K15" s="115">
        <v>6</v>
      </c>
      <c r="L15" s="116" t="str">
        <f t="shared" ref="L15" si="1">IF(K15&lt;=0,"",IF(K15&lt;=2,"Muy Baja",IF(K15&lt;=24,"Baja",IF(K15&lt;=500,"Media",IF(K15&lt;=5000,"Alta","Muy Alta")))))</f>
        <v>Baja</v>
      </c>
      <c r="M15" s="117">
        <f t="shared" ref="M15" si="2">IF(L15="","",IF(L15="Muy Baja",0.2,IF(L15="Baja",0.4,IF(L15="Media",0.6,IF(L15="Alta",0.8,IF(L15="Muy Alta",1,))))))</f>
        <v>0.4</v>
      </c>
      <c r="N15" s="118" t="s">
        <v>136</v>
      </c>
      <c r="O15" s="149" t="str">
        <f>IF(NOT(ISERROR(MATCH(N15,'Tabla Impacto'!$B$221:$B$223,0))),'Tabla Impacto'!$F$223&amp;"Por favor no seleccionar los criterios de impacto(Afectación Económica o presupuestal y Pérdida Reputacional)",N15)</f>
        <v xml:space="preserve">     Afectación menor a 10 SMLMV .</v>
      </c>
      <c r="P15" s="148" t="str">
        <f>IF(OR(O15='[1]Tabla Impacto'!$C$11,O15='[1]Tabla Impacto'!$D$11),"Leve",IF(OR(O15='[1]Tabla Impacto'!$C$12,O15='[1]Tabla Impacto'!$D$12),"Menor",IF(OR(O15='[1]Tabla Impacto'!$C$13,O15='[1]Tabla Impacto'!$D$13),"Moderado",IF(OR(O15='[1]Tabla Impacto'!$C$14,O15='[1]Tabla Impacto'!$D$14),"Mayor",IF(OR(O15='[1]Tabla Impacto'!$C$15,O15='[1]Tabla Impacto'!$D$15),"Catastrófico","")))))</f>
        <v>Leve</v>
      </c>
      <c r="Q15" s="117">
        <f t="shared" ref="Q15" si="3">IF(P15="","",IF(P15="Leve",0.2,IF(P15="Menor",0.4,IF(P15="Moderado",0.6,IF(P15="Mayor",0.8,IF(P15="Catastrófico",1,))))))</f>
        <v>0.2</v>
      </c>
      <c r="R15" s="119" t="str">
        <f t="shared" ref="R15" si="4">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Bajo</v>
      </c>
      <c r="S15" s="112">
        <v>1</v>
      </c>
      <c r="T15" s="120" t="s">
        <v>283</v>
      </c>
      <c r="U15" s="121" t="s">
        <v>137</v>
      </c>
      <c r="V15" s="122" t="str">
        <f t="shared" ref="V15" si="5">IF(OR(W15="Preventivo",W15="Detectivo"),"Probabilidad",IF(W15="Correctivo","Impacto",""))</f>
        <v>Probabilidad</v>
      </c>
      <c r="W15" s="123" t="s">
        <v>112</v>
      </c>
      <c r="X15" s="123" t="s">
        <v>113</v>
      </c>
      <c r="Y15" s="124" t="str">
        <f t="shared" si="0"/>
        <v>40%</v>
      </c>
      <c r="Z15" s="123" t="s">
        <v>114</v>
      </c>
      <c r="AA15" s="123" t="s">
        <v>115</v>
      </c>
      <c r="AB15" s="123" t="s">
        <v>116</v>
      </c>
      <c r="AC15" s="125">
        <f t="shared" ref="AC15" si="6">IFERROR(IF(V15="Probabilidad",(M15-(+M15*Y15)),IF(V15="Impacto",M15,"")),"")</f>
        <v>0.24</v>
      </c>
      <c r="AD15" s="126" t="str">
        <f t="shared" ref="AD15" si="7">IFERROR(IF(AC15="","",IF(AC15&lt;=0.2,"Muy Baja",IF(AC15&lt;=0.4,"Baja",IF(AC15&lt;=0.6,"Media",IF(AC15&lt;=0.8,"Alta","Muy Alta"))))),"")</f>
        <v>Baja</v>
      </c>
      <c r="AE15" s="172">
        <f t="shared" ref="AE15" si="8">+AC15</f>
        <v>0.24</v>
      </c>
      <c r="AF15" s="126" t="str">
        <f t="shared" ref="AF15" si="9">IFERROR(IF(AG15="","",IF(AG15&lt;=0.2,"Leve",IF(AG15&lt;=0.4,"Menor",IF(AG15&lt;=0.6,"Moderado",IF(AG15&lt;=0.8,"Mayor","Catastrófico"))))),"")</f>
        <v>Leve</v>
      </c>
      <c r="AG15" s="172">
        <f t="shared" ref="AG15" si="10">IFERROR(IF(V15="Impacto",(Q15-(+Q15*Y15)),IF(V15="Probabilidad",Q15,"")),"")</f>
        <v>0.2</v>
      </c>
      <c r="AH15" s="127" t="str">
        <f t="shared" ref="AH15" si="11">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Bajo</v>
      </c>
      <c r="AI15" s="123" t="s">
        <v>117</v>
      </c>
      <c r="AJ15" s="113" t="s">
        <v>138</v>
      </c>
      <c r="AK15" s="113" t="s">
        <v>119</v>
      </c>
      <c r="AL15" s="150" t="s">
        <v>120</v>
      </c>
      <c r="AM15" s="128">
        <v>44671</v>
      </c>
      <c r="AN15" s="156" t="s">
        <v>139</v>
      </c>
      <c r="AO15" s="115" t="s">
        <v>122</v>
      </c>
      <c r="AP15" s="128">
        <v>44798</v>
      </c>
      <c r="AQ15" s="113" t="s">
        <v>140</v>
      </c>
      <c r="AR15" s="115" t="s">
        <v>122</v>
      </c>
      <c r="AS15" s="128">
        <v>44882</v>
      </c>
      <c r="AT15" s="158" t="s">
        <v>284</v>
      </c>
      <c r="AU15" s="115" t="s">
        <v>264</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49.5" customHeight="1" x14ac:dyDescent="0.3">
      <c r="A16" s="111"/>
      <c r="B16" s="142"/>
      <c r="C16" s="142"/>
      <c r="D16" s="241" t="s">
        <v>143</v>
      </c>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8" spans="1:43" x14ac:dyDescent="0.3">
      <c r="A18" s="129"/>
      <c r="B18" s="130"/>
      <c r="C18" s="130"/>
      <c r="D18" s="130"/>
      <c r="E18" s="130"/>
      <c r="F18" s="130"/>
      <c r="G18" s="130"/>
      <c r="H18" s="1"/>
      <c r="I18" s="1"/>
      <c r="J18" s="1"/>
      <c r="L18" s="133"/>
      <c r="M18" s="130"/>
      <c r="N18" s="130"/>
      <c r="O18" s="130"/>
      <c r="P18" s="130"/>
      <c r="Q18" s="130"/>
      <c r="R18" s="130"/>
      <c r="S18" s="134"/>
      <c r="T18" s="130"/>
      <c r="U18" s="130"/>
      <c r="V18" s="134"/>
      <c r="W18" s="134"/>
      <c r="X18" s="130"/>
      <c r="Y18" s="130"/>
      <c r="Z18" s="130"/>
      <c r="AA18" s="130"/>
      <c r="AB18" s="130"/>
      <c r="AC18" s="130"/>
      <c r="AD18" s="130"/>
      <c r="AE18" s="130"/>
      <c r="AF18" s="130"/>
      <c r="AG18" s="130"/>
      <c r="AH18" s="130"/>
      <c r="AI18" s="135"/>
      <c r="AJ18" s="135"/>
      <c r="AK18" s="130"/>
      <c r="AL18" s="130"/>
      <c r="AM18" s="130"/>
      <c r="AN18" s="152"/>
      <c r="AO18" s="130"/>
      <c r="AP18" s="130"/>
      <c r="AQ18" s="130"/>
    </row>
    <row r="19" spans="1:43" ht="18" x14ac:dyDescent="0.3">
      <c r="A19" s="244" t="s">
        <v>144</v>
      </c>
      <c r="B19" s="244"/>
      <c r="C19" s="244"/>
      <c r="D19" s="244"/>
      <c r="E19" s="244"/>
      <c r="F19" s="244"/>
      <c r="G19" s="244"/>
      <c r="H19" s="1"/>
      <c r="I19" s="1"/>
      <c r="J19" s="1"/>
      <c r="K19" s="238" t="s">
        <v>287</v>
      </c>
      <c r="L19" s="239"/>
      <c r="M19" s="239"/>
      <c r="N19" s="240"/>
      <c r="O19" s="130"/>
      <c r="P19" s="130"/>
      <c r="Q19" s="130"/>
      <c r="R19" s="130"/>
      <c r="S19" s="134"/>
      <c r="T19" s="130"/>
      <c r="U19" s="135"/>
      <c r="V19" s="134"/>
      <c r="W19" s="134"/>
      <c r="X19" s="130"/>
      <c r="Y19" s="134"/>
      <c r="Z19" s="134"/>
      <c r="AA19" s="130"/>
      <c r="AB19" s="130"/>
      <c r="AC19" s="130"/>
      <c r="AD19" s="130"/>
      <c r="AE19" s="130"/>
      <c r="AF19" s="130"/>
      <c r="AG19" s="130"/>
      <c r="AH19" s="130"/>
      <c r="AI19" s="130"/>
      <c r="AJ19" s="130"/>
      <c r="AK19" s="130"/>
      <c r="AL19" s="130"/>
      <c r="AM19" s="130"/>
      <c r="AN19" s="152"/>
      <c r="AO19" s="130"/>
      <c r="AP19" s="130"/>
      <c r="AQ19" s="130"/>
    </row>
    <row r="20" spans="1:43" ht="17.25" thickBot="1" x14ac:dyDescent="0.35">
      <c r="A20"/>
      <c r="B20"/>
      <c r="C20"/>
      <c r="D20"/>
      <c r="E20"/>
      <c r="F20"/>
      <c r="G20"/>
      <c r="H20" s="1"/>
      <c r="I20" s="1"/>
      <c r="J20" s="1"/>
      <c r="L20" s="131" t="str">
        <f>+IFERROR(VLOOKUP(H20,$H$175:$L$179,3,FALSE)*VLOOKUP(K20,$K$175:$L$179,3,FALSE),"")</f>
        <v/>
      </c>
      <c r="M20"/>
      <c r="N20"/>
      <c r="O20"/>
      <c r="P20"/>
      <c r="Q20"/>
      <c r="R20"/>
      <c r="S20" s="131"/>
      <c r="T20"/>
      <c r="U20"/>
      <c r="V20" s="131"/>
      <c r="W20" s="132"/>
      <c r="X20"/>
      <c r="Y20" s="132"/>
      <c r="Z20" s="132"/>
      <c r="AA20" s="138"/>
      <c r="AB20" s="138"/>
      <c r="AC20" s="138"/>
      <c r="AD20" s="138"/>
      <c r="AE20" s="136"/>
      <c r="AF20" s="136"/>
      <c r="AG20" s="138"/>
      <c r="AH20" s="139"/>
      <c r="AI20"/>
      <c r="AJ20"/>
      <c r="AK20"/>
      <c r="AL20" s="138"/>
      <c r="AM20"/>
      <c r="AN20" s="153"/>
      <c r="AO20"/>
      <c r="AP20" s="138"/>
      <c r="AQ20"/>
    </row>
    <row r="21" spans="1:43" ht="17.45" customHeight="1" thickTop="1" thickBot="1" x14ac:dyDescent="0.35">
      <c r="A21" s="236" t="s">
        <v>145</v>
      </c>
      <c r="B21" s="236"/>
      <c r="C21" s="236"/>
      <c r="D21" s="236"/>
      <c r="E21" s="236"/>
      <c r="F21" s="236"/>
      <c r="G21" s="181" t="s">
        <v>146</v>
      </c>
      <c r="H21" s="236" t="s">
        <v>147</v>
      </c>
      <c r="I21" s="236"/>
      <c r="J21" s="236"/>
      <c r="K21" s="236"/>
      <c r="L21" s="236"/>
      <c r="M21" s="236"/>
      <c r="N21" s="236"/>
      <c r="O21" s="141"/>
      <c r="P21" s="237" t="s">
        <v>148</v>
      </c>
      <c r="Q21" s="237"/>
      <c r="R21" s="237"/>
      <c r="S21" s="236" t="s">
        <v>149</v>
      </c>
      <c r="T21" s="236"/>
      <c r="U21" s="236"/>
      <c r="V21" s="236"/>
      <c r="W21" s="237">
        <v>1</v>
      </c>
      <c r="X21" s="237"/>
      <c r="Y21" s="237"/>
      <c r="Z21" s="237"/>
      <c r="AA21" s="140"/>
      <c r="AB21" s="140"/>
      <c r="AC21" s="140"/>
      <c r="AD21" s="140"/>
      <c r="AE21" s="140"/>
      <c r="AF21" s="140"/>
      <c r="AG21" s="140"/>
      <c r="AH21" s="140"/>
      <c r="AI21" s="140"/>
      <c r="AJ21" s="140"/>
      <c r="AK21" s="140"/>
      <c r="AL21" s="140"/>
      <c r="AM21" s="140"/>
      <c r="AN21" s="154"/>
      <c r="AO21" s="140"/>
      <c r="AP21" s="140"/>
      <c r="AQ21" s="137"/>
    </row>
    <row r="22" spans="1:43" ht="17.25" thickTop="1" x14ac:dyDescent="0.3"/>
  </sheetData>
  <dataConsolidate/>
  <mergeCells count="67">
    <mergeCell ref="AT1:AU1"/>
    <mergeCell ref="AT2:AU2"/>
    <mergeCell ref="AT3:AU3"/>
    <mergeCell ref="AT4:AU4"/>
    <mergeCell ref="AJ10:AJ11"/>
    <mergeCell ref="C8:AU8"/>
    <mergeCell ref="C7:AU7"/>
    <mergeCell ref="C6:AU6"/>
    <mergeCell ref="I10:I11"/>
    <mergeCell ref="J10:J11"/>
    <mergeCell ref="AI10:AI11"/>
    <mergeCell ref="AH10:AH11"/>
    <mergeCell ref="AG10:AG11"/>
    <mergeCell ref="AC10:AC11"/>
    <mergeCell ref="U10:U11"/>
    <mergeCell ref="AU10:AU11"/>
    <mergeCell ref="A1:D4"/>
    <mergeCell ref="AF10:AF11"/>
    <mergeCell ref="AD10:AD11"/>
    <mergeCell ref="AE10:AE11"/>
    <mergeCell ref="K10:K11"/>
    <mergeCell ref="L10:L11"/>
    <mergeCell ref="M10:M11"/>
    <mergeCell ref="P10:P11"/>
    <mergeCell ref="Q10:Q11"/>
    <mergeCell ref="W10:AB10"/>
    <mergeCell ref="AC9:AI9"/>
    <mergeCell ref="A10:A11"/>
    <mergeCell ref="H10:H11"/>
    <mergeCell ref="E1:AS4"/>
    <mergeCell ref="AP10:AP11"/>
    <mergeCell ref="AQ10:AQ11"/>
    <mergeCell ref="D16:AO16"/>
    <mergeCell ref="A19:G19"/>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S21:V21"/>
    <mergeCell ref="W21:Z21"/>
    <mergeCell ref="A21:F21"/>
    <mergeCell ref="K19:N19"/>
    <mergeCell ref="H21:N21"/>
    <mergeCell ref="P21:R21"/>
    <mergeCell ref="AJ9:AU9"/>
    <mergeCell ref="AR10:AR11"/>
    <mergeCell ref="AS10:AS11"/>
    <mergeCell ref="AT10:AT11"/>
    <mergeCell ref="A6:B6"/>
    <mergeCell ref="A7:B7"/>
    <mergeCell ref="A8:B8"/>
    <mergeCell ref="A9:K9"/>
    <mergeCell ref="L9:R9"/>
    <mergeCell ref="S9:AB9"/>
    <mergeCell ref="S10:S11"/>
    <mergeCell ref="T10:T11"/>
    <mergeCell ref="B10:B11"/>
    <mergeCell ref="V10:V11"/>
  </mergeCells>
  <conditionalFormatting sqref="L13:L15 AD13:AD15">
    <cfRule type="cellIs" dxfId="24" priority="370" operator="equal">
      <formula>"Muy Alta"</formula>
    </cfRule>
    <cfRule type="cellIs" dxfId="23" priority="371" operator="equal">
      <formula>"Alta"</formula>
    </cfRule>
    <cfRule type="cellIs" dxfId="22" priority="372" operator="equal">
      <formula>"Media"</formula>
    </cfRule>
    <cfRule type="cellIs" dxfId="21" priority="373" operator="equal">
      <formula>"Baja"</formula>
    </cfRule>
    <cfRule type="cellIs" dxfId="20" priority="374" operator="equal">
      <formula>"Muy Baja"</formula>
    </cfRule>
  </conditionalFormatting>
  <conditionalFormatting sqref="R13:R15 AH13:AH15">
    <cfRule type="cellIs" dxfId="19" priority="291" operator="equal">
      <formula>"Extremo"</formula>
    </cfRule>
    <cfRule type="cellIs" dxfId="18" priority="292" operator="equal">
      <formula>"Alto"</formula>
    </cfRule>
    <cfRule type="cellIs" dxfId="17" priority="293" operator="equal">
      <formula>"Moderado"</formula>
    </cfRule>
    <cfRule type="cellIs" dxfId="16" priority="294" operator="equal">
      <formula>"Bajo"</formula>
    </cfRule>
  </conditionalFormatting>
  <conditionalFormatting sqref="AF13:AF15 P13:P15">
    <cfRule type="cellIs" dxfId="15" priority="281" operator="equal">
      <formula>"Catastrófico"</formula>
    </cfRule>
    <cfRule type="cellIs" dxfId="14" priority="282" operator="equal">
      <formula>"Mayor"</formula>
    </cfRule>
    <cfRule type="cellIs" dxfId="13" priority="283" operator="equal">
      <formula>"Moderado"</formula>
    </cfRule>
    <cfRule type="cellIs" dxfId="12" priority="284" operator="equal">
      <formula>"Menor"</formula>
    </cfRule>
    <cfRule type="cellIs" dxfId="11" priority="285" operator="equal">
      <formula>"Leve"</formula>
    </cfRule>
  </conditionalFormatting>
  <conditionalFormatting sqref="O13:O15">
    <cfRule type="containsText" dxfId="10" priority="52" operator="containsText" text="❌">
      <formula>NOT(ISERROR(SEARCH("❌",O13)))</formula>
    </cfRule>
  </conditionalFormatting>
  <conditionalFormatting sqref="AE18:AE20">
    <cfRule type="cellIs" dxfId="9" priority="6" stopIfTrue="1" operator="equal">
      <formula>#REF!</formula>
    </cfRule>
    <cfRule type="cellIs" dxfId="8" priority="7" operator="equal">
      <formula>#REF!</formula>
    </cfRule>
    <cfRule type="cellIs" dxfId="7" priority="8" operator="equal">
      <formula>#REF!</formula>
    </cfRule>
  </conditionalFormatting>
  <conditionalFormatting sqref="AF18:AF20">
    <cfRule type="cellIs" dxfId="6" priority="9" stopIfTrue="1" operator="equal">
      <formula>#REF!</formula>
    </cfRule>
    <cfRule type="cellIs" dxfId="5" priority="10" stopIfTrue="1" operator="equal">
      <formula>#REF!</formula>
    </cfRule>
    <cfRule type="cellIs" dxfId="4" priority="11" stopIfTrue="1" operator="equal">
      <formula>#REF!</formula>
    </cfRule>
  </conditionalFormatting>
  <dataValidations count="6">
    <dataValidation type="list" allowBlank="1" showInputMessage="1" showErrorMessage="1" sqref="G18" xr:uid="{00000000-0002-0000-0100-000000000000}">
      <formula1>$G$175:$G$184</formula1>
    </dataValidation>
    <dataValidation type="list" allowBlank="1" showInputMessage="1" showErrorMessage="1" sqref="G20 AE20:AF20" xr:uid="{00000000-0002-0000-0100-000001000000}">
      <formula1>#REF!</formula1>
    </dataValidation>
    <dataValidation type="list" allowBlank="1" showInputMessage="1" showErrorMessage="1" sqref="V20" xr:uid="{00000000-0002-0000-0100-000002000000}">
      <formula1>$N$175:$N$176</formula1>
    </dataValidation>
    <dataValidation type="list" allowBlank="1" showInputMessage="1" showErrorMessage="1" sqref="K20" xr:uid="{00000000-0002-0000-0100-000003000000}">
      <formula1>$K$175:$K$179</formula1>
    </dataValidation>
    <dataValidation type="list" allowBlank="1" showInputMessage="1" showErrorMessage="1" sqref="H20:J20" xr:uid="{00000000-0002-0000-0100-000004000000}">
      <formula1>$H$175:$H$179</formula1>
    </dataValidation>
    <dataValidation type="list" allowBlank="1" showInputMessage="1" showErrorMessage="1" sqref="AP20 Y20:AD20 W20 AL20 AN20" xr:uid="{00000000-0002-0000-0100-000005000000}">
      <formula1>$AL$175:$AL$182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AU13:AU15 AR13:AR15 AO13:AO15</xm:sqref>
        </x14:dataValidation>
        <x14:dataValidation type="list" allowBlank="1" showInputMessage="1" showErrorMessage="1" xr:uid="{00000000-0002-0000-0100-000007000000}">
          <x14:formula1>
            <xm:f>'Tabla Valoración controles'!$D$4:$D$6</xm:f>
          </x14:formula1>
          <xm:sqref>W13:W15</xm:sqref>
        </x14:dataValidation>
        <x14:dataValidation type="list" allowBlank="1" showInputMessage="1" showErrorMessage="1" xr:uid="{00000000-0002-0000-0100-000008000000}">
          <x14:formula1>
            <xm:f>'Tabla Valoración controles'!$D$7:$D$8</xm:f>
          </x14:formula1>
          <xm:sqref>X13:X15</xm:sqref>
        </x14:dataValidation>
        <x14:dataValidation type="list" allowBlank="1" showInputMessage="1" showErrorMessage="1" xr:uid="{00000000-0002-0000-0100-000009000000}">
          <x14:formula1>
            <xm:f>'Tabla Valoración controles'!$D$9:$D$10</xm:f>
          </x14:formula1>
          <xm:sqref>Z13:Z15</xm:sqref>
        </x14:dataValidation>
        <x14:dataValidation type="list" allowBlank="1" showInputMessage="1" showErrorMessage="1" xr:uid="{00000000-0002-0000-0100-00000A000000}">
          <x14:formula1>
            <xm:f>'Tabla Valoración controles'!$D$11:$D$12</xm:f>
          </x14:formula1>
          <xm:sqref>AA13:AA15</xm:sqref>
        </x14:dataValidation>
        <x14:dataValidation type="list" allowBlank="1" showInputMessage="1" showErrorMessage="1" xr:uid="{00000000-0002-0000-0100-00000B000000}">
          <x14:formula1>
            <xm:f>'Tabla Valoración controles'!$D$13:$D$14</xm:f>
          </x14:formula1>
          <xm:sqref>AB13:AB15</xm:sqref>
        </x14:dataValidation>
        <x14:dataValidation type="list" allowBlank="1" showInputMessage="1" showErrorMessage="1" xr:uid="{00000000-0002-0000-0100-00000C000000}">
          <x14:formula1>
            <xm:f>'Opciones Tratamiento'!$B$13:$B$19</xm:f>
          </x14:formula1>
          <xm:sqref>H13:H15</xm:sqref>
        </x14:dataValidation>
        <x14:dataValidation type="list" allowBlank="1" showInputMessage="1" showErrorMessage="1" xr:uid="{00000000-0002-0000-0100-00000D000000}">
          <x14:formula1>
            <xm:f>'Opciones Tratamiento'!$E$2:$E$4</xm:f>
          </x14:formula1>
          <xm:sqref>D13:D15</xm:sqref>
        </x14:dataValidation>
        <x14:dataValidation type="list" allowBlank="1" showInputMessage="1" showErrorMessage="1" xr:uid="{00000000-0002-0000-0100-00000E000000}">
          <x14:formula1>
            <xm:f>'Opciones Tratamiento'!$B$2:$B$5</xm:f>
          </x14:formula1>
          <xm:sqref>AI13:AI15</xm:sqref>
        </x14:dataValidation>
        <x14:dataValidation type="list" allowBlank="1" showInputMessage="1" showErrorMessage="1" xr:uid="{00000000-0002-0000-0100-00000F000000}">
          <x14:formula1>
            <xm:f>'Tabla Impacto'!$F$210:$F$221</xm:f>
          </x14:formula1>
          <xm:sqref>N13:N15</xm:sqref>
        </x14:dataValidation>
        <x14:dataValidation type="list" allowBlank="1" showInputMessage="1" showErrorMessage="1" xr:uid="{00000000-0002-0000-0100-000010000000}">
          <x14:formula1>
            <xm:f>Listas!$A$2:$A$9</xm:f>
          </x14:formula1>
          <xm:sqref>B13:B15</xm:sqref>
        </x14:dataValidation>
        <x14:dataValidation type="list" allowBlank="1" showInputMessage="1" showErrorMessage="1" xr:uid="{00000000-0002-0000-0100-000011000000}">
          <x14:formula1>
            <xm:f>Listas!$B$2:$B$7</xm:f>
          </x14:formula1>
          <xm:sqref>C13:C15</xm:sqref>
        </x14:dataValidation>
        <x14:dataValidation type="list" allowBlank="1" showInputMessage="1" showErrorMessage="1" xr:uid="{00000000-0002-0000-0100-000012000000}">
          <x14:formula1>
            <xm:f>Listas!$C$2:$C$6</xm:f>
          </x14:formula1>
          <xm:sqref>I13:I15</xm:sqref>
        </x14:dataValidation>
        <x14:dataValidation type="list" allowBlank="1" showInputMessage="1" showErrorMessage="1" xr:uid="{00000000-0002-0000-0100-000013000000}">
          <x14:formula1>
            <xm:f>Listas!$D$2:$D$5</xm:f>
          </x14:formula1>
          <xm:sqref>J13:J15</xm:sqref>
        </x14:dataValidation>
        <x14:dataValidation type="custom" allowBlank="1" showInputMessage="1" showErrorMessage="1" error="Recuerde que las acciones se generan bajo la medida de mitigar el riesgo" xr:uid="{00000000-0002-0000-0100-000014000000}">
          <x14:formula1>
            <xm:f>IF(OR(AI13='C:\Users\ANDRES\Downloads\[MAPA DE RIESGOS IBTI 2022 (1).xlsx]Opciones Tratamiento'!#REF!,AI13='C:\Users\ANDRES\Downloads\[MAPA DE RIESGOS IBTI 2022 (1).xlsx]Opciones Tratamiento'!#REF!,AI13='C:\Users\ANDRES\Downloads\[MAPA DE RIESGOS IBTI 2022 (1).xlsx]Opciones Tratamiento'!#REF!),ISBLANK(AI13),ISTEXT(AI13))</xm:f>
          </x14:formula1>
          <xm:sqref>AL13:AL15</xm:sqref>
        </x14:dataValidation>
        <x14:dataValidation type="custom" allowBlank="1" showInputMessage="1" showErrorMessage="1" error="Recuerde que las acciones se generan bajo la medida de mitigar el riesgo" xr:uid="{00000000-0002-0000-0100-000015000000}">
          <x14:formula1>
            <xm:f>IF(OR(AI13='C:\Users\ANDRES\Downloads\[MAPA DE RIESGOS IBTI 2022 (1).xlsx]Opciones Tratamiento'!#REF!,AI13='C:\Users\ANDRES\Downloads\[MAPA DE RIESGOS IBTI 2022 (1).xlsx]Opciones Tratamiento'!#REF!,AI13='C:\Users\ANDRES\Downloads\[MAPA DE RIESGOS IBTI 2022 (1).xlsx]Opciones Tratamiento'!#REF!),ISBLANK(AI13),ISTEXT(AI13))</xm:f>
          </x14:formula1>
          <xm:sqref>AK13:AK15</xm:sqref>
        </x14:dataValidation>
        <x14:dataValidation type="custom" allowBlank="1" showInputMessage="1" showErrorMessage="1" error="Recuerde que las acciones se generan bajo la medida de mitigar el riesgo" xr:uid="{00000000-0002-0000-0100-000016000000}">
          <x14:formula1>
            <xm:f>IF(OR(AI13='C:\Users\ANDRES\Downloads\[MAPA DE RIESGOS IBTI 2022 (1).xlsx]Opciones Tratamiento'!#REF!,AI13='C:\Users\ANDRES\Downloads\[MAPA DE RIESGOS IBTI 2022 (1).xlsx]Opciones Tratamiento'!#REF!,AI13='C:\Users\ANDRES\Downloads\[MAPA DE RIESGOS IBTI 2022 (1).xlsx]Opciones Tratamiento'!#REF!),ISBLANK(AI13),ISTEXT(AI13))</xm:f>
          </x14:formula1>
          <xm:sqref>AJ13:AJ15</xm:sqref>
        </x14:dataValidation>
        <x14:dataValidation type="custom" allowBlank="1" showInputMessage="1" showErrorMessage="1" error="Recuerde que las acciones se generan bajo la medida de mitigar el riesgo" xr:uid="{00000000-0002-0000-0100-000017000000}">
          <x14:formula1>
            <xm:f>IF(OR(AI13='Opciones Tratamiento'!$B$2,AI13='Opciones Tratamiento'!$B$3,AI13='Opciones Tratamiento'!$B$4),ISBLANK(AI13),ISTEXT(AI13))</xm:f>
          </x14:formula1>
          <xm:sqref>AS13:AS15 AM13:AM15 AP13:AP15</xm:sqref>
        </x14:dataValidation>
        <x14:dataValidation type="custom" allowBlank="1" showInputMessage="1" showErrorMessage="1" error="Recuerde que las acciones se generan bajo la medida de mitigar el riesgo" xr:uid="{00000000-0002-0000-0100-000018000000}">
          <x14:formula1>
            <xm:f>IF(OR(AI13='Opciones Tratamiento'!$B$2,AI13='Opciones Tratamiento'!$B$3,AI13='Opciones Tratamiento'!$B$4),ISBLANK(AI13),ISTEXT(AI13))</xm:f>
          </x14:formula1>
          <xm:sqref>AT13:AT15 AQ13:AQ15 AN13:AN15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150</v>
      </c>
      <c r="B1" t="s">
        <v>77</v>
      </c>
      <c r="C1" t="s">
        <v>151</v>
      </c>
      <c r="D1" t="s">
        <v>152</v>
      </c>
    </row>
    <row r="2" spans="1:4" x14ac:dyDescent="0.25">
      <c r="A2" t="s">
        <v>153</v>
      </c>
      <c r="B2" t="s">
        <v>154</v>
      </c>
      <c r="C2" t="s">
        <v>155</v>
      </c>
      <c r="D2" t="s">
        <v>156</v>
      </c>
    </row>
    <row r="3" spans="1:4" x14ac:dyDescent="0.25">
      <c r="A3" t="s">
        <v>104</v>
      </c>
      <c r="B3" t="s">
        <v>157</v>
      </c>
      <c r="C3" t="s">
        <v>158</v>
      </c>
      <c r="D3" t="s">
        <v>135</v>
      </c>
    </row>
    <row r="4" spans="1:4" x14ac:dyDescent="0.25">
      <c r="A4" t="s">
        <v>124</v>
      </c>
      <c r="B4" t="s">
        <v>159</v>
      </c>
      <c r="C4" t="s">
        <v>109</v>
      </c>
      <c r="D4" t="s">
        <v>110</v>
      </c>
    </row>
    <row r="5" spans="1:4" x14ac:dyDescent="0.25">
      <c r="A5" t="s">
        <v>157</v>
      </c>
      <c r="B5" t="s">
        <v>105</v>
      </c>
      <c r="C5" t="s">
        <v>160</v>
      </c>
      <c r="D5" t="s">
        <v>161</v>
      </c>
    </row>
    <row r="6" spans="1:4" x14ac:dyDescent="0.25">
      <c r="A6" t="s">
        <v>162</v>
      </c>
      <c r="B6" t="s">
        <v>163</v>
      </c>
      <c r="C6" t="s">
        <v>161</v>
      </c>
    </row>
    <row r="7" spans="1:4" x14ac:dyDescent="0.25">
      <c r="A7" t="s">
        <v>164</v>
      </c>
      <c r="B7" t="s">
        <v>165</v>
      </c>
    </row>
    <row r="8" spans="1:4" x14ac:dyDescent="0.25">
      <c r="A8" t="s">
        <v>166</v>
      </c>
    </row>
    <row r="9" spans="1:4" x14ac:dyDescent="0.25">
      <c r="A9" t="s">
        <v>167</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43" t="s">
        <v>168</v>
      </c>
      <c r="C2" s="343"/>
      <c r="D2" s="343"/>
      <c r="E2" s="343"/>
      <c r="F2" s="343"/>
      <c r="G2" s="343"/>
      <c r="H2" s="343"/>
      <c r="I2" s="343"/>
      <c r="J2" s="311" t="s">
        <v>15</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43"/>
      <c r="C3" s="343"/>
      <c r="D3" s="343"/>
      <c r="E3" s="343"/>
      <c r="F3" s="343"/>
      <c r="G3" s="343"/>
      <c r="H3" s="343"/>
      <c r="I3" s="343"/>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43"/>
      <c r="C4" s="343"/>
      <c r="D4" s="343"/>
      <c r="E4" s="343"/>
      <c r="F4" s="343"/>
      <c r="G4" s="343"/>
      <c r="H4" s="343"/>
      <c r="I4" s="343"/>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58" t="s">
        <v>169</v>
      </c>
      <c r="C6" s="258"/>
      <c r="D6" s="259"/>
      <c r="E6" s="296" t="s">
        <v>170</v>
      </c>
      <c r="F6" s="297"/>
      <c r="G6" s="297"/>
      <c r="H6" s="297"/>
      <c r="I6" s="298"/>
      <c r="J6" s="307" t="e">
        <f>IF(AND('Mapa final'!#REF!="Muy Alta",'Mapa final'!#REF!="Leve"),CONCATENATE("R",'Mapa final'!#REF!),"")</f>
        <v>#REF!</v>
      </c>
      <c r="K6" s="308"/>
      <c r="L6" s="308" t="str">
        <f>IF(AND('Mapa final'!$L$13="Muy Alta",'Mapa final'!$P$13="Leve"),CONCATENATE("R",'Mapa final'!$A$13),"")</f>
        <v/>
      </c>
      <c r="M6" s="308"/>
      <c r="N6" s="308" t="e">
        <f>IF(AND('Mapa final'!#REF!="Muy Alta",'Mapa final'!#REF!="Leve"),CONCATENATE("R",'Mapa final'!#REF!),"")</f>
        <v>#REF!</v>
      </c>
      <c r="O6" s="310"/>
      <c r="P6" s="307" t="e">
        <f>IF(AND('Mapa final'!#REF!="Muy Alta",'Mapa final'!#REF!="Menor"),CONCATENATE("R",'Mapa final'!#REF!),"")</f>
        <v>#REF!</v>
      </c>
      <c r="Q6" s="308"/>
      <c r="R6" s="308" t="str">
        <f>IF(AND('Mapa final'!$L$13="Muy Alta",'Mapa final'!$P$13="Menor"),CONCATENATE("R",'Mapa final'!$A$13),"")</f>
        <v/>
      </c>
      <c r="S6" s="308"/>
      <c r="T6" s="308" t="e">
        <f>IF(AND('Mapa final'!#REF!="Muy Alta",'Mapa final'!#REF!="Menor"),CONCATENATE("R",'Mapa final'!#REF!),"")</f>
        <v>#REF!</v>
      </c>
      <c r="U6" s="310"/>
      <c r="V6" s="307" t="e">
        <f>IF(AND('Mapa final'!#REF!="Muy Alta",'Mapa final'!#REF!="Moderado"),CONCATENATE("R",'Mapa final'!#REF!),"")</f>
        <v>#REF!</v>
      </c>
      <c r="W6" s="308"/>
      <c r="X6" s="308" t="str">
        <f>IF(AND('Mapa final'!$L$13="Muy Alta",'Mapa final'!$P$13="Moderado"),CONCATENATE("R",'Mapa final'!$A$13),"")</f>
        <v/>
      </c>
      <c r="Y6" s="308"/>
      <c r="Z6" s="308" t="e">
        <f>IF(AND('Mapa final'!#REF!="Muy Alta",'Mapa final'!#REF!="Moderado"),CONCATENATE("R",'Mapa final'!#REF!),"")</f>
        <v>#REF!</v>
      </c>
      <c r="AA6" s="310"/>
      <c r="AB6" s="307" t="e">
        <f>IF(AND('Mapa final'!#REF!="Muy Alta",'Mapa final'!#REF!="Mayor"),CONCATENATE("R",'Mapa final'!#REF!),"")</f>
        <v>#REF!</v>
      </c>
      <c r="AC6" s="308"/>
      <c r="AD6" s="308" t="str">
        <f>IF(AND('Mapa final'!$L$13="Muy Alta",'Mapa final'!$P$13="Mayor"),CONCATENATE("R",'Mapa final'!$A$13),"")</f>
        <v/>
      </c>
      <c r="AE6" s="308"/>
      <c r="AF6" s="308" t="e">
        <f>IF(AND('Mapa final'!#REF!="Muy Alta",'Mapa final'!#REF!="Mayor"),CONCATENATE("R",'Mapa final'!#REF!),"")</f>
        <v>#REF!</v>
      </c>
      <c r="AG6" s="310"/>
      <c r="AH6" s="322" t="e">
        <f>IF(AND('Mapa final'!#REF!="Muy Alta",'Mapa final'!#REF!="Catastrófico"),CONCATENATE("R",'Mapa final'!#REF!),"")</f>
        <v>#REF!</v>
      </c>
      <c r="AI6" s="323"/>
      <c r="AJ6" s="323" t="str">
        <f>IF(AND('Mapa final'!$L$13="Muy Alta",'Mapa final'!$P$13="Catastrófico"),CONCATENATE("R",'Mapa final'!$A$13),"")</f>
        <v/>
      </c>
      <c r="AK6" s="323"/>
      <c r="AL6" s="323" t="e">
        <f>IF(AND('Mapa final'!#REF!="Muy Alta",'Mapa final'!#REF!="Catastrófico"),CONCATENATE("R",'Mapa final'!#REF!),"")</f>
        <v>#REF!</v>
      </c>
      <c r="AM6" s="324"/>
      <c r="AO6" s="260" t="s">
        <v>171</v>
      </c>
      <c r="AP6" s="261"/>
      <c r="AQ6" s="261"/>
      <c r="AR6" s="261"/>
      <c r="AS6" s="261"/>
      <c r="AT6" s="262"/>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58"/>
      <c r="C7" s="258"/>
      <c r="D7" s="259"/>
      <c r="E7" s="299"/>
      <c r="F7" s="300"/>
      <c r="G7" s="300"/>
      <c r="H7" s="300"/>
      <c r="I7" s="301"/>
      <c r="J7" s="309"/>
      <c r="K7" s="305"/>
      <c r="L7" s="305"/>
      <c r="M7" s="305"/>
      <c r="N7" s="305"/>
      <c r="O7" s="306"/>
      <c r="P7" s="309"/>
      <c r="Q7" s="305"/>
      <c r="R7" s="305"/>
      <c r="S7" s="305"/>
      <c r="T7" s="305"/>
      <c r="U7" s="306"/>
      <c r="V7" s="309"/>
      <c r="W7" s="305"/>
      <c r="X7" s="305"/>
      <c r="Y7" s="305"/>
      <c r="Z7" s="305"/>
      <c r="AA7" s="306"/>
      <c r="AB7" s="309"/>
      <c r="AC7" s="305"/>
      <c r="AD7" s="305"/>
      <c r="AE7" s="305"/>
      <c r="AF7" s="305"/>
      <c r="AG7" s="306"/>
      <c r="AH7" s="316"/>
      <c r="AI7" s="317"/>
      <c r="AJ7" s="317"/>
      <c r="AK7" s="317"/>
      <c r="AL7" s="317"/>
      <c r="AM7" s="318"/>
      <c r="AN7" s="75"/>
      <c r="AO7" s="263"/>
      <c r="AP7" s="264"/>
      <c r="AQ7" s="264"/>
      <c r="AR7" s="264"/>
      <c r="AS7" s="264"/>
      <c r="AT7" s="26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58"/>
      <c r="C8" s="258"/>
      <c r="D8" s="259"/>
      <c r="E8" s="299"/>
      <c r="F8" s="300"/>
      <c r="G8" s="300"/>
      <c r="H8" s="300"/>
      <c r="I8" s="301"/>
      <c r="J8" s="309" t="e">
        <f>IF(AND('Mapa final'!#REF!="Muy Alta",'Mapa final'!#REF!="Leve"),CONCATENATE("R",'Mapa final'!#REF!),"")</f>
        <v>#REF!</v>
      </c>
      <c r="K8" s="305"/>
      <c r="L8" s="305" t="e">
        <f>IF(AND('Mapa final'!#REF!="Muy Alta",'Mapa final'!#REF!="Leve"),CONCATENATE("R",'Mapa final'!#REF!),"")</f>
        <v>#REF!</v>
      </c>
      <c r="M8" s="305"/>
      <c r="N8" s="305" t="e">
        <f>IF(AND('Mapa final'!#REF!="Muy Alta",'Mapa final'!#REF!="Leve"),CONCATENATE("R",'Mapa final'!#REF!),"")</f>
        <v>#REF!</v>
      </c>
      <c r="O8" s="306"/>
      <c r="P8" s="309" t="e">
        <f>IF(AND('Mapa final'!#REF!="Muy Alta",'Mapa final'!#REF!="Menor"),CONCATENATE("R",'Mapa final'!#REF!),"")</f>
        <v>#REF!</v>
      </c>
      <c r="Q8" s="305"/>
      <c r="R8" s="305" t="e">
        <f>IF(AND('Mapa final'!#REF!="Muy Alta",'Mapa final'!#REF!="Menor"),CONCATENATE("R",'Mapa final'!#REF!),"")</f>
        <v>#REF!</v>
      </c>
      <c r="S8" s="305"/>
      <c r="T8" s="305" t="e">
        <f>IF(AND('Mapa final'!#REF!="Muy Alta",'Mapa final'!#REF!="Menor"),CONCATENATE("R",'Mapa final'!#REF!),"")</f>
        <v>#REF!</v>
      </c>
      <c r="U8" s="306"/>
      <c r="V8" s="309" t="e">
        <f>IF(AND('Mapa final'!#REF!="Muy Alta",'Mapa final'!#REF!="Moderado"),CONCATENATE("R",'Mapa final'!#REF!),"")</f>
        <v>#REF!</v>
      </c>
      <c r="W8" s="305"/>
      <c r="X8" s="305" t="e">
        <f>IF(AND('Mapa final'!#REF!="Muy Alta",'Mapa final'!#REF!="Moderado"),CONCATENATE("R",'Mapa final'!#REF!),"")</f>
        <v>#REF!</v>
      </c>
      <c r="Y8" s="305"/>
      <c r="Z8" s="305" t="e">
        <f>IF(AND('Mapa final'!#REF!="Muy Alta",'Mapa final'!#REF!="Moderado"),CONCATENATE("R",'Mapa final'!#REF!),"")</f>
        <v>#REF!</v>
      </c>
      <c r="AA8" s="306"/>
      <c r="AB8" s="309" t="e">
        <f>IF(AND('Mapa final'!#REF!="Muy Alta",'Mapa final'!#REF!="Mayor"),CONCATENATE("R",'Mapa final'!#REF!),"")</f>
        <v>#REF!</v>
      </c>
      <c r="AC8" s="305"/>
      <c r="AD8" s="305" t="e">
        <f>IF(AND('Mapa final'!#REF!="Muy Alta",'Mapa final'!#REF!="Mayor"),CONCATENATE("R",'Mapa final'!#REF!),"")</f>
        <v>#REF!</v>
      </c>
      <c r="AE8" s="305"/>
      <c r="AF8" s="305" t="e">
        <f>IF(AND('Mapa final'!#REF!="Muy Alta",'Mapa final'!#REF!="Mayor"),CONCATENATE("R",'Mapa final'!#REF!),"")</f>
        <v>#REF!</v>
      </c>
      <c r="AG8" s="306"/>
      <c r="AH8" s="316" t="e">
        <f>IF(AND('Mapa final'!#REF!="Muy Alta",'Mapa final'!#REF!="Catastrófico"),CONCATENATE("R",'Mapa final'!#REF!),"")</f>
        <v>#REF!</v>
      </c>
      <c r="AI8" s="317"/>
      <c r="AJ8" s="317" t="e">
        <f>IF(AND('Mapa final'!#REF!="Muy Alta",'Mapa final'!#REF!="Catastrófico"),CONCATENATE("R",'Mapa final'!#REF!),"")</f>
        <v>#REF!</v>
      </c>
      <c r="AK8" s="317"/>
      <c r="AL8" s="317" t="e">
        <f>IF(AND('Mapa final'!#REF!="Muy Alta",'Mapa final'!#REF!="Catastrófico"),CONCATENATE("R",'Mapa final'!#REF!),"")</f>
        <v>#REF!</v>
      </c>
      <c r="AM8" s="318"/>
      <c r="AN8" s="75"/>
      <c r="AO8" s="263"/>
      <c r="AP8" s="264"/>
      <c r="AQ8" s="264"/>
      <c r="AR8" s="264"/>
      <c r="AS8" s="264"/>
      <c r="AT8" s="26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58"/>
      <c r="C9" s="258"/>
      <c r="D9" s="259"/>
      <c r="E9" s="299"/>
      <c r="F9" s="300"/>
      <c r="G9" s="300"/>
      <c r="H9" s="300"/>
      <c r="I9" s="301"/>
      <c r="J9" s="309"/>
      <c r="K9" s="305"/>
      <c r="L9" s="305"/>
      <c r="M9" s="305"/>
      <c r="N9" s="305"/>
      <c r="O9" s="306"/>
      <c r="P9" s="309"/>
      <c r="Q9" s="305"/>
      <c r="R9" s="305"/>
      <c r="S9" s="305"/>
      <c r="T9" s="305"/>
      <c r="U9" s="306"/>
      <c r="V9" s="309"/>
      <c r="W9" s="305"/>
      <c r="X9" s="305"/>
      <c r="Y9" s="305"/>
      <c r="Z9" s="305"/>
      <c r="AA9" s="306"/>
      <c r="AB9" s="309"/>
      <c r="AC9" s="305"/>
      <c r="AD9" s="305"/>
      <c r="AE9" s="305"/>
      <c r="AF9" s="305"/>
      <c r="AG9" s="306"/>
      <c r="AH9" s="316"/>
      <c r="AI9" s="317"/>
      <c r="AJ9" s="317"/>
      <c r="AK9" s="317"/>
      <c r="AL9" s="317"/>
      <c r="AM9" s="318"/>
      <c r="AN9" s="75"/>
      <c r="AO9" s="263"/>
      <c r="AP9" s="264"/>
      <c r="AQ9" s="264"/>
      <c r="AR9" s="264"/>
      <c r="AS9" s="264"/>
      <c r="AT9" s="26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58"/>
      <c r="C10" s="258"/>
      <c r="D10" s="259"/>
      <c r="E10" s="299"/>
      <c r="F10" s="300"/>
      <c r="G10" s="300"/>
      <c r="H10" s="300"/>
      <c r="I10" s="301"/>
      <c r="J10" s="309" t="e">
        <f>IF(AND('Mapa final'!#REF!="Muy Alta",'Mapa final'!#REF!="Leve"),CONCATENATE("R",'Mapa final'!#REF!),"")</f>
        <v>#REF!</v>
      </c>
      <c r="K10" s="305"/>
      <c r="L10" s="305" t="e">
        <f>IF(AND('Mapa final'!#REF!="Muy Alta",'Mapa final'!#REF!="Leve"),CONCATENATE("R",'Mapa final'!#REF!),"")</f>
        <v>#REF!</v>
      </c>
      <c r="M10" s="305"/>
      <c r="N10" s="305" t="e">
        <f>IF(AND('Mapa final'!#REF!="Muy Alta",'Mapa final'!#REF!="Leve"),CONCATENATE("R",'Mapa final'!#REF!),"")</f>
        <v>#REF!</v>
      </c>
      <c r="O10" s="306"/>
      <c r="P10" s="309" t="e">
        <f>IF(AND('Mapa final'!#REF!="Muy Alta",'Mapa final'!#REF!="Menor"),CONCATENATE("R",'Mapa final'!#REF!),"")</f>
        <v>#REF!</v>
      </c>
      <c r="Q10" s="305"/>
      <c r="R10" s="305" t="e">
        <f>IF(AND('Mapa final'!#REF!="Muy Alta",'Mapa final'!#REF!="Menor"),CONCATENATE("R",'Mapa final'!#REF!),"")</f>
        <v>#REF!</v>
      </c>
      <c r="S10" s="305"/>
      <c r="T10" s="305" t="e">
        <f>IF(AND('Mapa final'!#REF!="Muy Alta",'Mapa final'!#REF!="Menor"),CONCATENATE("R",'Mapa final'!#REF!),"")</f>
        <v>#REF!</v>
      </c>
      <c r="U10" s="306"/>
      <c r="V10" s="309" t="e">
        <f>IF(AND('Mapa final'!#REF!="Muy Alta",'Mapa final'!#REF!="Moderado"),CONCATENATE("R",'Mapa final'!#REF!),"")</f>
        <v>#REF!</v>
      </c>
      <c r="W10" s="305"/>
      <c r="X10" s="305" t="e">
        <f>IF(AND('Mapa final'!#REF!="Muy Alta",'Mapa final'!#REF!="Moderado"),CONCATENATE("R",'Mapa final'!#REF!),"")</f>
        <v>#REF!</v>
      </c>
      <c r="Y10" s="305"/>
      <c r="Z10" s="305" t="e">
        <f>IF(AND('Mapa final'!#REF!="Muy Alta",'Mapa final'!#REF!="Moderado"),CONCATENATE("R",'Mapa final'!#REF!),"")</f>
        <v>#REF!</v>
      </c>
      <c r="AA10" s="306"/>
      <c r="AB10" s="309" t="e">
        <f>IF(AND('Mapa final'!#REF!="Muy Alta",'Mapa final'!#REF!="Mayor"),CONCATENATE("R",'Mapa final'!#REF!),"")</f>
        <v>#REF!</v>
      </c>
      <c r="AC10" s="305"/>
      <c r="AD10" s="305" t="e">
        <f>IF(AND('Mapa final'!#REF!="Muy Alta",'Mapa final'!#REF!="Mayor"),CONCATENATE("R",'Mapa final'!#REF!),"")</f>
        <v>#REF!</v>
      </c>
      <c r="AE10" s="305"/>
      <c r="AF10" s="305" t="e">
        <f>IF(AND('Mapa final'!#REF!="Muy Alta",'Mapa final'!#REF!="Mayor"),CONCATENATE("R",'Mapa final'!#REF!),"")</f>
        <v>#REF!</v>
      </c>
      <c r="AG10" s="306"/>
      <c r="AH10" s="316" t="e">
        <f>IF(AND('Mapa final'!#REF!="Muy Alta",'Mapa final'!#REF!="Catastrófico"),CONCATENATE("R",'Mapa final'!#REF!),"")</f>
        <v>#REF!</v>
      </c>
      <c r="AI10" s="317"/>
      <c r="AJ10" s="317" t="e">
        <f>IF(AND('Mapa final'!#REF!="Muy Alta",'Mapa final'!#REF!="Catastrófico"),CONCATENATE("R",'Mapa final'!#REF!),"")</f>
        <v>#REF!</v>
      </c>
      <c r="AK10" s="317"/>
      <c r="AL10" s="317" t="e">
        <f>IF(AND('Mapa final'!#REF!="Muy Alta",'Mapa final'!#REF!="Catastrófico"),CONCATENATE("R",'Mapa final'!#REF!),"")</f>
        <v>#REF!</v>
      </c>
      <c r="AM10" s="318"/>
      <c r="AN10" s="75"/>
      <c r="AO10" s="263"/>
      <c r="AP10" s="264"/>
      <c r="AQ10" s="264"/>
      <c r="AR10" s="264"/>
      <c r="AS10" s="264"/>
      <c r="AT10" s="26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58"/>
      <c r="C11" s="258"/>
      <c r="D11" s="259"/>
      <c r="E11" s="299"/>
      <c r="F11" s="300"/>
      <c r="G11" s="300"/>
      <c r="H11" s="300"/>
      <c r="I11" s="301"/>
      <c r="J11" s="309"/>
      <c r="K11" s="305"/>
      <c r="L11" s="305"/>
      <c r="M11" s="305"/>
      <c r="N11" s="305"/>
      <c r="O11" s="306"/>
      <c r="P11" s="309"/>
      <c r="Q11" s="305"/>
      <c r="R11" s="305"/>
      <c r="S11" s="305"/>
      <c r="T11" s="305"/>
      <c r="U11" s="306"/>
      <c r="V11" s="309"/>
      <c r="W11" s="305"/>
      <c r="X11" s="305"/>
      <c r="Y11" s="305"/>
      <c r="Z11" s="305"/>
      <c r="AA11" s="306"/>
      <c r="AB11" s="309"/>
      <c r="AC11" s="305"/>
      <c r="AD11" s="305"/>
      <c r="AE11" s="305"/>
      <c r="AF11" s="305"/>
      <c r="AG11" s="306"/>
      <c r="AH11" s="316"/>
      <c r="AI11" s="317"/>
      <c r="AJ11" s="317"/>
      <c r="AK11" s="317"/>
      <c r="AL11" s="317"/>
      <c r="AM11" s="318"/>
      <c r="AN11" s="75"/>
      <c r="AO11" s="263"/>
      <c r="AP11" s="264"/>
      <c r="AQ11" s="264"/>
      <c r="AR11" s="264"/>
      <c r="AS11" s="264"/>
      <c r="AT11" s="26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58"/>
      <c r="C12" s="258"/>
      <c r="D12" s="259"/>
      <c r="E12" s="299"/>
      <c r="F12" s="300"/>
      <c r="G12" s="300"/>
      <c r="H12" s="300"/>
      <c r="I12" s="301"/>
      <c r="J12" s="309" t="e">
        <f>IF(AND('Mapa final'!#REF!="Muy Alta",'Mapa final'!#REF!="Leve"),CONCATENATE("R",'Mapa final'!#REF!),"")</f>
        <v>#REF!</v>
      </c>
      <c r="K12" s="305"/>
      <c r="L12" s="305" t="str">
        <f>IF(AND('Mapa final'!$L$16="Muy Alta",'Mapa final'!$P$16="Leve"),CONCATENATE("R",'Mapa final'!$A$16),"")</f>
        <v/>
      </c>
      <c r="M12" s="305"/>
      <c r="N12" s="305" t="str">
        <f>IF(AND('Mapa final'!$L$18="Muy Alta",'Mapa final'!$P$18="Leve"),CONCATENATE("R",'Mapa final'!$A$18),"")</f>
        <v/>
      </c>
      <c r="O12" s="306"/>
      <c r="P12" s="309" t="e">
        <f>IF(AND('Mapa final'!#REF!="Muy Alta",'Mapa final'!#REF!="Menor"),CONCATENATE("R",'Mapa final'!#REF!),"")</f>
        <v>#REF!</v>
      </c>
      <c r="Q12" s="305"/>
      <c r="R12" s="305" t="str">
        <f>IF(AND('Mapa final'!$L$16="Muy Alta",'Mapa final'!$P$16="Menor"),CONCATENATE("R",'Mapa final'!$A$16),"")</f>
        <v/>
      </c>
      <c r="S12" s="305"/>
      <c r="T12" s="305" t="str">
        <f>IF(AND('Mapa final'!$L$18="Muy Alta",'Mapa final'!$P$18="Menor"),CONCATENATE("R",'Mapa final'!$A$18),"")</f>
        <v/>
      </c>
      <c r="U12" s="306"/>
      <c r="V12" s="309" t="e">
        <f>IF(AND('Mapa final'!#REF!="Muy Alta",'Mapa final'!#REF!="Moderado"),CONCATENATE("R",'Mapa final'!#REF!),"")</f>
        <v>#REF!</v>
      </c>
      <c r="W12" s="305"/>
      <c r="X12" s="305" t="str">
        <f>IF(AND('Mapa final'!$L$16="Muy Alta",'Mapa final'!$P$16="Moderado"),CONCATENATE("R",'Mapa final'!$A$16),"")</f>
        <v/>
      </c>
      <c r="Y12" s="305"/>
      <c r="Z12" s="305" t="str">
        <f>IF(AND('Mapa final'!$L$18="Muy Alta",'Mapa final'!$P$18="Moderado"),CONCATENATE("R",'Mapa final'!$A$18),"")</f>
        <v/>
      </c>
      <c r="AA12" s="306"/>
      <c r="AB12" s="309" t="e">
        <f>IF(AND('Mapa final'!#REF!="Muy Alta",'Mapa final'!#REF!="Mayor"),CONCATENATE("R",'Mapa final'!#REF!),"")</f>
        <v>#REF!</v>
      </c>
      <c r="AC12" s="305"/>
      <c r="AD12" s="305" t="str">
        <f>IF(AND('Mapa final'!$L$16="Muy Alta",'Mapa final'!$P$16="Mayor"),CONCATENATE("R",'Mapa final'!$A$16),"")</f>
        <v/>
      </c>
      <c r="AE12" s="305"/>
      <c r="AF12" s="305" t="str">
        <f>IF(AND('Mapa final'!$L$18="Muy Alta",'Mapa final'!$P$18="Mayor"),CONCATENATE("R",'Mapa final'!$A$18),"")</f>
        <v/>
      </c>
      <c r="AG12" s="306"/>
      <c r="AH12" s="316" t="e">
        <f>IF(AND('Mapa final'!#REF!="Muy Alta",'Mapa final'!#REF!="Catastrófico"),CONCATENATE("R",'Mapa final'!#REF!),"")</f>
        <v>#REF!</v>
      </c>
      <c r="AI12" s="317"/>
      <c r="AJ12" s="317" t="str">
        <f>IF(AND('Mapa final'!$L$16="Muy Alta",'Mapa final'!$P$16="Catastrófico"),CONCATENATE("R",'Mapa final'!$A$16),"")</f>
        <v/>
      </c>
      <c r="AK12" s="317"/>
      <c r="AL12" s="317" t="str">
        <f>IF(AND('Mapa final'!$L$18="Muy Alta",'Mapa final'!$P$18="Catastrófico"),CONCATENATE("R",'Mapa final'!$A$18),"")</f>
        <v/>
      </c>
      <c r="AM12" s="318"/>
      <c r="AN12" s="75"/>
      <c r="AO12" s="263"/>
      <c r="AP12" s="264"/>
      <c r="AQ12" s="264"/>
      <c r="AR12" s="264"/>
      <c r="AS12" s="264"/>
      <c r="AT12" s="26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58"/>
      <c r="C13" s="258"/>
      <c r="D13" s="259"/>
      <c r="E13" s="302"/>
      <c r="F13" s="303"/>
      <c r="G13" s="303"/>
      <c r="H13" s="303"/>
      <c r="I13" s="304"/>
      <c r="J13" s="309"/>
      <c r="K13" s="305"/>
      <c r="L13" s="305"/>
      <c r="M13" s="305"/>
      <c r="N13" s="305"/>
      <c r="O13" s="306"/>
      <c r="P13" s="309"/>
      <c r="Q13" s="305"/>
      <c r="R13" s="305"/>
      <c r="S13" s="305"/>
      <c r="T13" s="305"/>
      <c r="U13" s="306"/>
      <c r="V13" s="309"/>
      <c r="W13" s="305"/>
      <c r="X13" s="305"/>
      <c r="Y13" s="305"/>
      <c r="Z13" s="305"/>
      <c r="AA13" s="306"/>
      <c r="AB13" s="309"/>
      <c r="AC13" s="305"/>
      <c r="AD13" s="305"/>
      <c r="AE13" s="305"/>
      <c r="AF13" s="305"/>
      <c r="AG13" s="306"/>
      <c r="AH13" s="319"/>
      <c r="AI13" s="320"/>
      <c r="AJ13" s="320"/>
      <c r="AK13" s="320"/>
      <c r="AL13" s="320"/>
      <c r="AM13" s="321"/>
      <c r="AN13" s="75"/>
      <c r="AO13" s="266"/>
      <c r="AP13" s="267"/>
      <c r="AQ13" s="267"/>
      <c r="AR13" s="267"/>
      <c r="AS13" s="267"/>
      <c r="AT13" s="268"/>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58"/>
      <c r="C14" s="258"/>
      <c r="D14" s="259"/>
      <c r="E14" s="296" t="s">
        <v>172</v>
      </c>
      <c r="F14" s="297"/>
      <c r="G14" s="297"/>
      <c r="H14" s="297"/>
      <c r="I14" s="297"/>
      <c r="J14" s="331" t="e">
        <f>IF(AND('Mapa final'!#REF!="Alta",'Mapa final'!#REF!="Leve"),CONCATENATE("R",'Mapa final'!#REF!),"")</f>
        <v>#REF!</v>
      </c>
      <c r="K14" s="332"/>
      <c r="L14" s="332" t="str">
        <f>IF(AND('Mapa final'!$L$13="Alta",'Mapa final'!$P$13="Leve"),CONCATENATE("R",'Mapa final'!$A$13),"")</f>
        <v/>
      </c>
      <c r="M14" s="332"/>
      <c r="N14" s="332" t="e">
        <f>IF(AND('Mapa final'!#REF!="Alta",'Mapa final'!#REF!="Leve"),CONCATENATE("R",'Mapa final'!#REF!),"")</f>
        <v>#REF!</v>
      </c>
      <c r="O14" s="333"/>
      <c r="P14" s="331" t="e">
        <f>IF(AND('Mapa final'!#REF!="Alta",'Mapa final'!#REF!="Menor"),CONCATENATE("R",'Mapa final'!#REF!),"")</f>
        <v>#REF!</v>
      </c>
      <c r="Q14" s="332"/>
      <c r="R14" s="332" t="str">
        <f>IF(AND('Mapa final'!$L$13="Alta",'Mapa final'!$P$13="Menor"),CONCATENATE("R",'Mapa final'!$A$13),"")</f>
        <v/>
      </c>
      <c r="S14" s="332"/>
      <c r="T14" s="332" t="e">
        <f>IF(AND('Mapa final'!#REF!="Alta",'Mapa final'!#REF!="Menor"),CONCATENATE("R",'Mapa final'!#REF!),"")</f>
        <v>#REF!</v>
      </c>
      <c r="U14" s="333"/>
      <c r="V14" s="307" t="e">
        <f>IF(AND('Mapa final'!#REF!="Alta",'Mapa final'!#REF!="Moderado"),CONCATENATE("R",'Mapa final'!#REF!),"")</f>
        <v>#REF!</v>
      </c>
      <c r="W14" s="308"/>
      <c r="X14" s="308" t="str">
        <f>IF(AND('Mapa final'!$L$13="Alta",'Mapa final'!$P$13="Moderado"),CONCATENATE("R",'Mapa final'!$A$13),"")</f>
        <v/>
      </c>
      <c r="Y14" s="308"/>
      <c r="Z14" s="308" t="e">
        <f>IF(AND('Mapa final'!#REF!="Alta",'Mapa final'!#REF!="Moderado"),CONCATENATE("R",'Mapa final'!#REF!),"")</f>
        <v>#REF!</v>
      </c>
      <c r="AA14" s="310"/>
      <c r="AB14" s="307" t="e">
        <f>IF(AND('Mapa final'!#REF!="Alta",'Mapa final'!#REF!="Mayor"),CONCATENATE("R",'Mapa final'!#REF!),"")</f>
        <v>#REF!</v>
      </c>
      <c r="AC14" s="308"/>
      <c r="AD14" s="308" t="str">
        <f>IF(AND('Mapa final'!$L$13="Alta",'Mapa final'!$P$13="Mayor"),CONCATENATE("R",'Mapa final'!$A$13),"")</f>
        <v/>
      </c>
      <c r="AE14" s="308"/>
      <c r="AF14" s="308" t="e">
        <f>IF(AND('Mapa final'!#REF!="Alta",'Mapa final'!#REF!="Mayor"),CONCATENATE("R",'Mapa final'!#REF!),"")</f>
        <v>#REF!</v>
      </c>
      <c r="AG14" s="310"/>
      <c r="AH14" s="322" t="e">
        <f>IF(AND('Mapa final'!#REF!="Alta",'Mapa final'!#REF!="Catastrófico"),CONCATENATE("R",'Mapa final'!#REF!),"")</f>
        <v>#REF!</v>
      </c>
      <c r="AI14" s="323"/>
      <c r="AJ14" s="323" t="str">
        <f>IF(AND('Mapa final'!$L$13="Alta",'Mapa final'!$P$13="Catastrófico"),CONCATENATE("R",'Mapa final'!$A$13),"")</f>
        <v/>
      </c>
      <c r="AK14" s="323"/>
      <c r="AL14" s="323" t="e">
        <f>IF(AND('Mapa final'!#REF!="Alta",'Mapa final'!#REF!="Catastrófico"),CONCATENATE("R",'Mapa final'!#REF!),"")</f>
        <v>#REF!</v>
      </c>
      <c r="AM14" s="324"/>
      <c r="AN14" s="75"/>
      <c r="AO14" s="269" t="s">
        <v>173</v>
      </c>
      <c r="AP14" s="270"/>
      <c r="AQ14" s="270"/>
      <c r="AR14" s="270"/>
      <c r="AS14" s="270"/>
      <c r="AT14" s="271"/>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58"/>
      <c r="C15" s="258"/>
      <c r="D15" s="259"/>
      <c r="E15" s="299"/>
      <c r="F15" s="300"/>
      <c r="G15" s="300"/>
      <c r="H15" s="300"/>
      <c r="I15" s="300"/>
      <c r="J15" s="325"/>
      <c r="K15" s="326"/>
      <c r="L15" s="326"/>
      <c r="M15" s="326"/>
      <c r="N15" s="326"/>
      <c r="O15" s="327"/>
      <c r="P15" s="325"/>
      <c r="Q15" s="326"/>
      <c r="R15" s="326"/>
      <c r="S15" s="326"/>
      <c r="T15" s="326"/>
      <c r="U15" s="327"/>
      <c r="V15" s="309"/>
      <c r="W15" s="305"/>
      <c r="X15" s="305"/>
      <c r="Y15" s="305"/>
      <c r="Z15" s="305"/>
      <c r="AA15" s="306"/>
      <c r="AB15" s="309"/>
      <c r="AC15" s="305"/>
      <c r="AD15" s="305"/>
      <c r="AE15" s="305"/>
      <c r="AF15" s="305"/>
      <c r="AG15" s="306"/>
      <c r="AH15" s="316"/>
      <c r="AI15" s="317"/>
      <c r="AJ15" s="317"/>
      <c r="AK15" s="317"/>
      <c r="AL15" s="317"/>
      <c r="AM15" s="318"/>
      <c r="AN15" s="75"/>
      <c r="AO15" s="272"/>
      <c r="AP15" s="273"/>
      <c r="AQ15" s="273"/>
      <c r="AR15" s="273"/>
      <c r="AS15" s="273"/>
      <c r="AT15" s="274"/>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58"/>
      <c r="C16" s="258"/>
      <c r="D16" s="259"/>
      <c r="E16" s="299"/>
      <c r="F16" s="300"/>
      <c r="G16" s="300"/>
      <c r="H16" s="300"/>
      <c r="I16" s="300"/>
      <c r="J16" s="325" t="e">
        <f>IF(AND('Mapa final'!#REF!="Alta",'Mapa final'!#REF!="Leve"),CONCATENATE("R",'Mapa final'!#REF!),"")</f>
        <v>#REF!</v>
      </c>
      <c r="K16" s="326"/>
      <c r="L16" s="326" t="e">
        <f>IF(AND('Mapa final'!#REF!="Alta",'Mapa final'!#REF!="Leve"),CONCATENATE("R",'Mapa final'!#REF!),"")</f>
        <v>#REF!</v>
      </c>
      <c r="M16" s="326"/>
      <c r="N16" s="326" t="e">
        <f>IF(AND('Mapa final'!#REF!="Alta",'Mapa final'!#REF!="Leve"),CONCATENATE("R",'Mapa final'!#REF!),"")</f>
        <v>#REF!</v>
      </c>
      <c r="O16" s="327"/>
      <c r="P16" s="325" t="e">
        <f>IF(AND('Mapa final'!#REF!="Alta",'Mapa final'!#REF!="Menor"),CONCATENATE("R",'Mapa final'!#REF!),"")</f>
        <v>#REF!</v>
      </c>
      <c r="Q16" s="326"/>
      <c r="R16" s="326" t="e">
        <f>IF(AND('Mapa final'!#REF!="Alta",'Mapa final'!#REF!="Menor"),CONCATENATE("R",'Mapa final'!#REF!),"")</f>
        <v>#REF!</v>
      </c>
      <c r="S16" s="326"/>
      <c r="T16" s="326" t="e">
        <f>IF(AND('Mapa final'!#REF!="Alta",'Mapa final'!#REF!="Menor"),CONCATENATE("R",'Mapa final'!#REF!),"")</f>
        <v>#REF!</v>
      </c>
      <c r="U16" s="327"/>
      <c r="V16" s="309" t="e">
        <f>IF(AND('Mapa final'!#REF!="Alta",'Mapa final'!#REF!="Moderado"),CONCATENATE("R",'Mapa final'!#REF!),"")</f>
        <v>#REF!</v>
      </c>
      <c r="W16" s="305"/>
      <c r="X16" s="305" t="e">
        <f>IF(AND('Mapa final'!#REF!="Alta",'Mapa final'!#REF!="Moderado"),CONCATENATE("R",'Mapa final'!#REF!),"")</f>
        <v>#REF!</v>
      </c>
      <c r="Y16" s="305"/>
      <c r="Z16" s="305" t="e">
        <f>IF(AND('Mapa final'!#REF!="Alta",'Mapa final'!#REF!="Moderado"),CONCATENATE("R",'Mapa final'!#REF!),"")</f>
        <v>#REF!</v>
      </c>
      <c r="AA16" s="306"/>
      <c r="AB16" s="309" t="e">
        <f>IF(AND('Mapa final'!#REF!="Alta",'Mapa final'!#REF!="Mayor"),CONCATENATE("R",'Mapa final'!#REF!),"")</f>
        <v>#REF!</v>
      </c>
      <c r="AC16" s="305"/>
      <c r="AD16" s="305" t="e">
        <f>IF(AND('Mapa final'!#REF!="Alta",'Mapa final'!#REF!="Mayor"),CONCATENATE("R",'Mapa final'!#REF!),"")</f>
        <v>#REF!</v>
      </c>
      <c r="AE16" s="305"/>
      <c r="AF16" s="305" t="e">
        <f>IF(AND('Mapa final'!#REF!="Alta",'Mapa final'!#REF!="Mayor"),CONCATENATE("R",'Mapa final'!#REF!),"")</f>
        <v>#REF!</v>
      </c>
      <c r="AG16" s="306"/>
      <c r="AH16" s="316" t="e">
        <f>IF(AND('Mapa final'!#REF!="Alta",'Mapa final'!#REF!="Catastrófico"),CONCATENATE("R",'Mapa final'!#REF!),"")</f>
        <v>#REF!</v>
      </c>
      <c r="AI16" s="317"/>
      <c r="AJ16" s="317" t="e">
        <f>IF(AND('Mapa final'!#REF!="Alta",'Mapa final'!#REF!="Catastrófico"),CONCATENATE("R",'Mapa final'!#REF!),"")</f>
        <v>#REF!</v>
      </c>
      <c r="AK16" s="317"/>
      <c r="AL16" s="317" t="e">
        <f>IF(AND('Mapa final'!#REF!="Alta",'Mapa final'!#REF!="Catastrófico"),CONCATENATE("R",'Mapa final'!#REF!),"")</f>
        <v>#REF!</v>
      </c>
      <c r="AM16" s="318"/>
      <c r="AN16" s="75"/>
      <c r="AO16" s="272"/>
      <c r="AP16" s="273"/>
      <c r="AQ16" s="273"/>
      <c r="AR16" s="273"/>
      <c r="AS16" s="273"/>
      <c r="AT16" s="274"/>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58"/>
      <c r="C17" s="258"/>
      <c r="D17" s="259"/>
      <c r="E17" s="299"/>
      <c r="F17" s="300"/>
      <c r="G17" s="300"/>
      <c r="H17" s="300"/>
      <c r="I17" s="300"/>
      <c r="J17" s="325"/>
      <c r="K17" s="326"/>
      <c r="L17" s="326"/>
      <c r="M17" s="326"/>
      <c r="N17" s="326"/>
      <c r="O17" s="327"/>
      <c r="P17" s="325"/>
      <c r="Q17" s="326"/>
      <c r="R17" s="326"/>
      <c r="S17" s="326"/>
      <c r="T17" s="326"/>
      <c r="U17" s="327"/>
      <c r="V17" s="309"/>
      <c r="W17" s="305"/>
      <c r="X17" s="305"/>
      <c r="Y17" s="305"/>
      <c r="Z17" s="305"/>
      <c r="AA17" s="306"/>
      <c r="AB17" s="309"/>
      <c r="AC17" s="305"/>
      <c r="AD17" s="305"/>
      <c r="AE17" s="305"/>
      <c r="AF17" s="305"/>
      <c r="AG17" s="306"/>
      <c r="AH17" s="316"/>
      <c r="AI17" s="317"/>
      <c r="AJ17" s="317"/>
      <c r="AK17" s="317"/>
      <c r="AL17" s="317"/>
      <c r="AM17" s="318"/>
      <c r="AN17" s="75"/>
      <c r="AO17" s="272"/>
      <c r="AP17" s="273"/>
      <c r="AQ17" s="273"/>
      <c r="AR17" s="273"/>
      <c r="AS17" s="273"/>
      <c r="AT17" s="274"/>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58"/>
      <c r="C18" s="258"/>
      <c r="D18" s="259"/>
      <c r="E18" s="299"/>
      <c r="F18" s="300"/>
      <c r="G18" s="300"/>
      <c r="H18" s="300"/>
      <c r="I18" s="300"/>
      <c r="J18" s="325" t="e">
        <f>IF(AND('Mapa final'!#REF!="Alta",'Mapa final'!#REF!="Leve"),CONCATENATE("R",'Mapa final'!#REF!),"")</f>
        <v>#REF!</v>
      </c>
      <c r="K18" s="326"/>
      <c r="L18" s="326" t="e">
        <f>IF(AND('Mapa final'!#REF!="Alta",'Mapa final'!#REF!="Leve"),CONCATENATE("R",'Mapa final'!#REF!),"")</f>
        <v>#REF!</v>
      </c>
      <c r="M18" s="326"/>
      <c r="N18" s="326" t="e">
        <f>IF(AND('Mapa final'!#REF!="Alta",'Mapa final'!#REF!="Leve"),CONCATENATE("R",'Mapa final'!#REF!),"")</f>
        <v>#REF!</v>
      </c>
      <c r="O18" s="327"/>
      <c r="P18" s="325" t="e">
        <f>IF(AND('Mapa final'!#REF!="Alta",'Mapa final'!#REF!="Menor"),CONCATENATE("R",'Mapa final'!#REF!),"")</f>
        <v>#REF!</v>
      </c>
      <c r="Q18" s="326"/>
      <c r="R18" s="326" t="e">
        <f>IF(AND('Mapa final'!#REF!="Alta",'Mapa final'!#REF!="Menor"),CONCATENATE("R",'Mapa final'!#REF!),"")</f>
        <v>#REF!</v>
      </c>
      <c r="S18" s="326"/>
      <c r="T18" s="326" t="e">
        <f>IF(AND('Mapa final'!#REF!="Alta",'Mapa final'!#REF!="Menor"),CONCATENATE("R",'Mapa final'!#REF!),"")</f>
        <v>#REF!</v>
      </c>
      <c r="U18" s="327"/>
      <c r="V18" s="309" t="e">
        <f>IF(AND('Mapa final'!#REF!="Alta",'Mapa final'!#REF!="Moderado"),CONCATENATE("R",'Mapa final'!#REF!),"")</f>
        <v>#REF!</v>
      </c>
      <c r="W18" s="305"/>
      <c r="X18" s="305" t="e">
        <f>IF(AND('Mapa final'!#REF!="Alta",'Mapa final'!#REF!="Moderado"),CONCATENATE("R",'Mapa final'!#REF!),"")</f>
        <v>#REF!</v>
      </c>
      <c r="Y18" s="305"/>
      <c r="Z18" s="305" t="e">
        <f>IF(AND('Mapa final'!#REF!="Alta",'Mapa final'!#REF!="Moderado"),CONCATENATE("R",'Mapa final'!#REF!),"")</f>
        <v>#REF!</v>
      </c>
      <c r="AA18" s="306"/>
      <c r="AB18" s="309" t="e">
        <f>IF(AND('Mapa final'!#REF!="Alta",'Mapa final'!#REF!="Mayor"),CONCATENATE("R",'Mapa final'!#REF!),"")</f>
        <v>#REF!</v>
      </c>
      <c r="AC18" s="305"/>
      <c r="AD18" s="305" t="e">
        <f>IF(AND('Mapa final'!#REF!="Alta",'Mapa final'!#REF!="Mayor"),CONCATENATE("R",'Mapa final'!#REF!),"")</f>
        <v>#REF!</v>
      </c>
      <c r="AE18" s="305"/>
      <c r="AF18" s="305" t="e">
        <f>IF(AND('Mapa final'!#REF!="Alta",'Mapa final'!#REF!="Mayor"),CONCATENATE("R",'Mapa final'!#REF!),"")</f>
        <v>#REF!</v>
      </c>
      <c r="AG18" s="306"/>
      <c r="AH18" s="316" t="e">
        <f>IF(AND('Mapa final'!#REF!="Alta",'Mapa final'!#REF!="Catastrófico"),CONCATENATE("R",'Mapa final'!#REF!),"")</f>
        <v>#REF!</v>
      </c>
      <c r="AI18" s="317"/>
      <c r="AJ18" s="317" t="e">
        <f>IF(AND('Mapa final'!#REF!="Alta",'Mapa final'!#REF!="Catastrófico"),CONCATENATE("R",'Mapa final'!#REF!),"")</f>
        <v>#REF!</v>
      </c>
      <c r="AK18" s="317"/>
      <c r="AL18" s="317" t="e">
        <f>IF(AND('Mapa final'!#REF!="Alta",'Mapa final'!#REF!="Catastrófico"),CONCATENATE("R",'Mapa final'!#REF!),"")</f>
        <v>#REF!</v>
      </c>
      <c r="AM18" s="318"/>
      <c r="AN18" s="75"/>
      <c r="AO18" s="272"/>
      <c r="AP18" s="273"/>
      <c r="AQ18" s="273"/>
      <c r="AR18" s="273"/>
      <c r="AS18" s="273"/>
      <c r="AT18" s="274"/>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58"/>
      <c r="C19" s="258"/>
      <c r="D19" s="259"/>
      <c r="E19" s="299"/>
      <c r="F19" s="300"/>
      <c r="G19" s="300"/>
      <c r="H19" s="300"/>
      <c r="I19" s="300"/>
      <c r="J19" s="325"/>
      <c r="K19" s="326"/>
      <c r="L19" s="326"/>
      <c r="M19" s="326"/>
      <c r="N19" s="326"/>
      <c r="O19" s="327"/>
      <c r="P19" s="325"/>
      <c r="Q19" s="326"/>
      <c r="R19" s="326"/>
      <c r="S19" s="326"/>
      <c r="T19" s="326"/>
      <c r="U19" s="327"/>
      <c r="V19" s="309"/>
      <c r="W19" s="305"/>
      <c r="X19" s="305"/>
      <c r="Y19" s="305"/>
      <c r="Z19" s="305"/>
      <c r="AA19" s="306"/>
      <c r="AB19" s="309"/>
      <c r="AC19" s="305"/>
      <c r="AD19" s="305"/>
      <c r="AE19" s="305"/>
      <c r="AF19" s="305"/>
      <c r="AG19" s="306"/>
      <c r="AH19" s="316"/>
      <c r="AI19" s="317"/>
      <c r="AJ19" s="317"/>
      <c r="AK19" s="317"/>
      <c r="AL19" s="317"/>
      <c r="AM19" s="318"/>
      <c r="AN19" s="75"/>
      <c r="AO19" s="272"/>
      <c r="AP19" s="273"/>
      <c r="AQ19" s="273"/>
      <c r="AR19" s="273"/>
      <c r="AS19" s="273"/>
      <c r="AT19" s="274"/>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58"/>
      <c r="C20" s="258"/>
      <c r="D20" s="259"/>
      <c r="E20" s="299"/>
      <c r="F20" s="300"/>
      <c r="G20" s="300"/>
      <c r="H20" s="300"/>
      <c r="I20" s="300"/>
      <c r="J20" s="325" t="e">
        <f>IF(AND('Mapa final'!#REF!="Alta",'Mapa final'!#REF!="Leve"),CONCATENATE("R",'Mapa final'!#REF!),"")</f>
        <v>#REF!</v>
      </c>
      <c r="K20" s="326"/>
      <c r="L20" s="326" t="str">
        <f>IF(AND('Mapa final'!$L$16="Alta",'Mapa final'!$P$16="Leve"),CONCATENATE("R",'Mapa final'!$A$16),"")</f>
        <v/>
      </c>
      <c r="M20" s="326"/>
      <c r="N20" s="326" t="str">
        <f>IF(AND('Mapa final'!$L$18="Alta",'Mapa final'!$P$18="Leve"),CONCATENATE("R",'Mapa final'!$A$18),"")</f>
        <v/>
      </c>
      <c r="O20" s="327"/>
      <c r="P20" s="325" t="e">
        <f>IF(AND('Mapa final'!#REF!="Alta",'Mapa final'!#REF!="Menor"),CONCATENATE("R",'Mapa final'!#REF!),"")</f>
        <v>#REF!</v>
      </c>
      <c r="Q20" s="326"/>
      <c r="R20" s="326" t="str">
        <f>IF(AND('Mapa final'!$L$16="Alta",'Mapa final'!$P$16="Menor"),CONCATENATE("R",'Mapa final'!$A$16),"")</f>
        <v/>
      </c>
      <c r="S20" s="326"/>
      <c r="T20" s="326" t="str">
        <f>IF(AND('Mapa final'!$L$18="Alta",'Mapa final'!$P$18="Menor"),CONCATENATE("R",'Mapa final'!$A$18),"")</f>
        <v/>
      </c>
      <c r="U20" s="327"/>
      <c r="V20" s="309" t="e">
        <f>IF(AND('Mapa final'!#REF!="Alta",'Mapa final'!#REF!="Moderado"),CONCATENATE("R",'Mapa final'!#REF!),"")</f>
        <v>#REF!</v>
      </c>
      <c r="W20" s="305"/>
      <c r="X20" s="305" t="str">
        <f>IF(AND('Mapa final'!$L$16="Alta",'Mapa final'!$P$16="Moderado"),CONCATENATE("R",'Mapa final'!$A$16),"")</f>
        <v/>
      </c>
      <c r="Y20" s="305"/>
      <c r="Z20" s="305" t="str">
        <f>IF(AND('Mapa final'!$L$18="Alta",'Mapa final'!$P$18="Moderado"),CONCATENATE("R",'Mapa final'!$A$18),"")</f>
        <v/>
      </c>
      <c r="AA20" s="306"/>
      <c r="AB20" s="309" t="e">
        <f>IF(AND('Mapa final'!#REF!="Alta",'Mapa final'!#REF!="Mayor"),CONCATENATE("R",'Mapa final'!#REF!),"")</f>
        <v>#REF!</v>
      </c>
      <c r="AC20" s="305"/>
      <c r="AD20" s="305" t="str">
        <f>IF(AND('Mapa final'!$L$16="Alta",'Mapa final'!$P$16="Mayor"),CONCATENATE("R",'Mapa final'!$A$16),"")</f>
        <v/>
      </c>
      <c r="AE20" s="305"/>
      <c r="AF20" s="305" t="str">
        <f>IF(AND('Mapa final'!$L$18="Alta",'Mapa final'!$P$18="Mayor"),CONCATENATE("R",'Mapa final'!$A$18),"")</f>
        <v/>
      </c>
      <c r="AG20" s="306"/>
      <c r="AH20" s="316" t="e">
        <f>IF(AND('Mapa final'!#REF!="Alta",'Mapa final'!#REF!="Catastrófico"),CONCATENATE("R",'Mapa final'!#REF!),"")</f>
        <v>#REF!</v>
      </c>
      <c r="AI20" s="317"/>
      <c r="AJ20" s="317" t="str">
        <f>IF(AND('Mapa final'!$L$16="Alta",'Mapa final'!$P$16="Catastrófico"),CONCATENATE("R",'Mapa final'!$A$16),"")</f>
        <v/>
      </c>
      <c r="AK20" s="317"/>
      <c r="AL20" s="317" t="str">
        <f>IF(AND('Mapa final'!$L$18="Alta",'Mapa final'!$P$18="Catastrófico"),CONCATENATE("R",'Mapa final'!$A$18),"")</f>
        <v/>
      </c>
      <c r="AM20" s="318"/>
      <c r="AN20" s="75"/>
      <c r="AO20" s="272"/>
      <c r="AP20" s="273"/>
      <c r="AQ20" s="273"/>
      <c r="AR20" s="273"/>
      <c r="AS20" s="273"/>
      <c r="AT20" s="274"/>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58"/>
      <c r="C21" s="258"/>
      <c r="D21" s="259"/>
      <c r="E21" s="302"/>
      <c r="F21" s="303"/>
      <c r="G21" s="303"/>
      <c r="H21" s="303"/>
      <c r="I21" s="303"/>
      <c r="J21" s="328"/>
      <c r="K21" s="329"/>
      <c r="L21" s="329"/>
      <c r="M21" s="329"/>
      <c r="N21" s="329"/>
      <c r="O21" s="330"/>
      <c r="P21" s="328"/>
      <c r="Q21" s="329"/>
      <c r="R21" s="329"/>
      <c r="S21" s="329"/>
      <c r="T21" s="329"/>
      <c r="U21" s="330"/>
      <c r="V21" s="313"/>
      <c r="W21" s="314"/>
      <c r="X21" s="314"/>
      <c r="Y21" s="314"/>
      <c r="Z21" s="314"/>
      <c r="AA21" s="315"/>
      <c r="AB21" s="313"/>
      <c r="AC21" s="314"/>
      <c r="AD21" s="314"/>
      <c r="AE21" s="314"/>
      <c r="AF21" s="314"/>
      <c r="AG21" s="315"/>
      <c r="AH21" s="319"/>
      <c r="AI21" s="320"/>
      <c r="AJ21" s="320"/>
      <c r="AK21" s="320"/>
      <c r="AL21" s="320"/>
      <c r="AM21" s="321"/>
      <c r="AN21" s="75"/>
      <c r="AO21" s="275"/>
      <c r="AP21" s="276"/>
      <c r="AQ21" s="276"/>
      <c r="AR21" s="276"/>
      <c r="AS21" s="276"/>
      <c r="AT21" s="277"/>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58"/>
      <c r="C22" s="258"/>
      <c r="D22" s="259"/>
      <c r="E22" s="296" t="s">
        <v>174</v>
      </c>
      <c r="F22" s="297"/>
      <c r="G22" s="297"/>
      <c r="H22" s="297"/>
      <c r="I22" s="298"/>
      <c r="J22" s="331" t="e">
        <f>IF(AND('Mapa final'!#REF!="Media",'Mapa final'!#REF!="Leve"),CONCATENATE("R",'Mapa final'!#REF!),"")</f>
        <v>#REF!</v>
      </c>
      <c r="K22" s="332"/>
      <c r="L22" s="332" t="str">
        <f>IF(AND('Mapa final'!$L$13="Media",'Mapa final'!$P$13="Leve"),CONCATENATE("R",'Mapa final'!$A$13),"")</f>
        <v>R1</v>
      </c>
      <c r="M22" s="332"/>
      <c r="N22" s="332" t="e">
        <f>IF(AND('Mapa final'!#REF!="Media",'Mapa final'!#REF!="Leve"),CONCATENATE("R",'Mapa final'!#REF!),"")</f>
        <v>#REF!</v>
      </c>
      <c r="O22" s="333"/>
      <c r="P22" s="331" t="e">
        <f>IF(AND('Mapa final'!#REF!="Media",'Mapa final'!#REF!="Menor"),CONCATENATE("R",'Mapa final'!#REF!),"")</f>
        <v>#REF!</v>
      </c>
      <c r="Q22" s="332"/>
      <c r="R22" s="332" t="str">
        <f>IF(AND('Mapa final'!$L$13="Media",'Mapa final'!$P$13="Menor"),CONCATENATE("R",'Mapa final'!$A$13),"")</f>
        <v/>
      </c>
      <c r="S22" s="332"/>
      <c r="T22" s="332" t="e">
        <f>IF(AND('Mapa final'!#REF!="Media",'Mapa final'!#REF!="Menor"),CONCATENATE("R",'Mapa final'!#REF!),"")</f>
        <v>#REF!</v>
      </c>
      <c r="U22" s="333"/>
      <c r="V22" s="331" t="e">
        <f>IF(AND('Mapa final'!#REF!="Media",'Mapa final'!#REF!="Moderado"),CONCATENATE("R",'Mapa final'!#REF!),"")</f>
        <v>#REF!</v>
      </c>
      <c r="W22" s="332"/>
      <c r="X22" s="332" t="str">
        <f>IF(AND('Mapa final'!$L$13="Media",'Mapa final'!$P$13="Moderado"),CONCATENATE("R",'Mapa final'!$A$13),"")</f>
        <v/>
      </c>
      <c r="Y22" s="332"/>
      <c r="Z22" s="332" t="e">
        <f>IF(AND('Mapa final'!#REF!="Media",'Mapa final'!#REF!="Moderado"),CONCATENATE("R",'Mapa final'!#REF!),"")</f>
        <v>#REF!</v>
      </c>
      <c r="AA22" s="333"/>
      <c r="AB22" s="307" t="e">
        <f>IF(AND('Mapa final'!#REF!="Media",'Mapa final'!#REF!="Mayor"),CONCATENATE("R",'Mapa final'!#REF!),"")</f>
        <v>#REF!</v>
      </c>
      <c r="AC22" s="308"/>
      <c r="AD22" s="308" t="str">
        <f>IF(AND('Mapa final'!$L$13="Media",'Mapa final'!$P$13="Mayor"),CONCATENATE("R",'Mapa final'!$A$13),"")</f>
        <v/>
      </c>
      <c r="AE22" s="308"/>
      <c r="AF22" s="308" t="e">
        <f>IF(AND('Mapa final'!#REF!="Media",'Mapa final'!#REF!="Mayor"),CONCATENATE("R",'Mapa final'!#REF!),"")</f>
        <v>#REF!</v>
      </c>
      <c r="AG22" s="310"/>
      <c r="AH22" s="322" t="e">
        <f>IF(AND('Mapa final'!#REF!="Media",'Mapa final'!#REF!="Catastrófico"),CONCATENATE("R",'Mapa final'!#REF!),"")</f>
        <v>#REF!</v>
      </c>
      <c r="AI22" s="323"/>
      <c r="AJ22" s="323" t="str">
        <f>IF(AND('Mapa final'!$L$13="Media",'Mapa final'!$P$13="Catastrófico"),CONCATENATE("R",'Mapa final'!$A$13),"")</f>
        <v/>
      </c>
      <c r="AK22" s="323"/>
      <c r="AL22" s="323" t="e">
        <f>IF(AND('Mapa final'!#REF!="Media",'Mapa final'!#REF!="Catastrófico"),CONCATENATE("R",'Mapa final'!#REF!),"")</f>
        <v>#REF!</v>
      </c>
      <c r="AM22" s="324"/>
      <c r="AN22" s="75"/>
      <c r="AO22" s="278" t="s">
        <v>175</v>
      </c>
      <c r="AP22" s="279"/>
      <c r="AQ22" s="279"/>
      <c r="AR22" s="279"/>
      <c r="AS22" s="279"/>
      <c r="AT22" s="280"/>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58"/>
      <c r="C23" s="258"/>
      <c r="D23" s="259"/>
      <c r="E23" s="299"/>
      <c r="F23" s="300"/>
      <c r="G23" s="300"/>
      <c r="H23" s="300"/>
      <c r="I23" s="301"/>
      <c r="J23" s="325"/>
      <c r="K23" s="326"/>
      <c r="L23" s="326"/>
      <c r="M23" s="326"/>
      <c r="N23" s="326"/>
      <c r="O23" s="327"/>
      <c r="P23" s="325"/>
      <c r="Q23" s="326"/>
      <c r="R23" s="326"/>
      <c r="S23" s="326"/>
      <c r="T23" s="326"/>
      <c r="U23" s="327"/>
      <c r="V23" s="325"/>
      <c r="W23" s="326"/>
      <c r="X23" s="326"/>
      <c r="Y23" s="326"/>
      <c r="Z23" s="326"/>
      <c r="AA23" s="327"/>
      <c r="AB23" s="309"/>
      <c r="AC23" s="305"/>
      <c r="AD23" s="305"/>
      <c r="AE23" s="305"/>
      <c r="AF23" s="305"/>
      <c r="AG23" s="306"/>
      <c r="AH23" s="316"/>
      <c r="AI23" s="317"/>
      <c r="AJ23" s="317"/>
      <c r="AK23" s="317"/>
      <c r="AL23" s="317"/>
      <c r="AM23" s="318"/>
      <c r="AN23" s="75"/>
      <c r="AO23" s="281"/>
      <c r="AP23" s="282"/>
      <c r="AQ23" s="282"/>
      <c r="AR23" s="282"/>
      <c r="AS23" s="282"/>
      <c r="AT23" s="283"/>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58"/>
      <c r="C24" s="258"/>
      <c r="D24" s="259"/>
      <c r="E24" s="299"/>
      <c r="F24" s="300"/>
      <c r="G24" s="300"/>
      <c r="H24" s="300"/>
      <c r="I24" s="301"/>
      <c r="J24" s="325" t="e">
        <f>IF(AND('Mapa final'!#REF!="Media",'Mapa final'!#REF!="Leve"),CONCATENATE("R",'Mapa final'!#REF!),"")</f>
        <v>#REF!</v>
      </c>
      <c r="K24" s="326"/>
      <c r="L24" s="326" t="e">
        <f>IF(AND('Mapa final'!#REF!="Media",'Mapa final'!#REF!="Leve"),CONCATENATE("R",'Mapa final'!#REF!),"")</f>
        <v>#REF!</v>
      </c>
      <c r="M24" s="326"/>
      <c r="N24" s="326" t="e">
        <f>IF(AND('Mapa final'!#REF!="Media",'Mapa final'!#REF!="Leve"),CONCATENATE("R",'Mapa final'!#REF!),"")</f>
        <v>#REF!</v>
      </c>
      <c r="O24" s="327"/>
      <c r="P24" s="325" t="e">
        <f>IF(AND('Mapa final'!#REF!="Media",'Mapa final'!#REF!="Menor"),CONCATENATE("R",'Mapa final'!#REF!),"")</f>
        <v>#REF!</v>
      </c>
      <c r="Q24" s="326"/>
      <c r="R24" s="326" t="e">
        <f>IF(AND('Mapa final'!#REF!="Media",'Mapa final'!#REF!="Menor"),CONCATENATE("R",'Mapa final'!#REF!),"")</f>
        <v>#REF!</v>
      </c>
      <c r="S24" s="326"/>
      <c r="T24" s="326" t="e">
        <f>IF(AND('Mapa final'!#REF!="Media",'Mapa final'!#REF!="Menor"),CONCATENATE("R",'Mapa final'!#REF!),"")</f>
        <v>#REF!</v>
      </c>
      <c r="U24" s="327"/>
      <c r="V24" s="325" t="e">
        <f>IF(AND('Mapa final'!#REF!="Media",'Mapa final'!#REF!="Moderado"),CONCATENATE("R",'Mapa final'!#REF!),"")</f>
        <v>#REF!</v>
      </c>
      <c r="W24" s="326"/>
      <c r="X24" s="326" t="e">
        <f>IF(AND('Mapa final'!#REF!="Media",'Mapa final'!#REF!="Moderado"),CONCATENATE("R",'Mapa final'!#REF!),"")</f>
        <v>#REF!</v>
      </c>
      <c r="Y24" s="326"/>
      <c r="Z24" s="326" t="e">
        <f>IF(AND('Mapa final'!#REF!="Media",'Mapa final'!#REF!="Moderado"),CONCATENATE("R",'Mapa final'!#REF!),"")</f>
        <v>#REF!</v>
      </c>
      <c r="AA24" s="327"/>
      <c r="AB24" s="309" t="e">
        <f>IF(AND('Mapa final'!#REF!="Media",'Mapa final'!#REF!="Mayor"),CONCATENATE("R",'Mapa final'!#REF!),"")</f>
        <v>#REF!</v>
      </c>
      <c r="AC24" s="305"/>
      <c r="AD24" s="305" t="e">
        <f>IF(AND('Mapa final'!#REF!="Media",'Mapa final'!#REF!="Mayor"),CONCATENATE("R",'Mapa final'!#REF!),"")</f>
        <v>#REF!</v>
      </c>
      <c r="AE24" s="305"/>
      <c r="AF24" s="305" t="e">
        <f>IF(AND('Mapa final'!#REF!="Media",'Mapa final'!#REF!="Mayor"),CONCATENATE("R",'Mapa final'!#REF!),"")</f>
        <v>#REF!</v>
      </c>
      <c r="AG24" s="306"/>
      <c r="AH24" s="316" t="e">
        <f>IF(AND('Mapa final'!#REF!="Media",'Mapa final'!#REF!="Catastrófico"),CONCATENATE("R",'Mapa final'!#REF!),"")</f>
        <v>#REF!</v>
      </c>
      <c r="AI24" s="317"/>
      <c r="AJ24" s="317" t="e">
        <f>IF(AND('Mapa final'!#REF!="Media",'Mapa final'!#REF!="Catastrófico"),CONCATENATE("R",'Mapa final'!#REF!),"")</f>
        <v>#REF!</v>
      </c>
      <c r="AK24" s="317"/>
      <c r="AL24" s="317" t="e">
        <f>IF(AND('Mapa final'!#REF!="Media",'Mapa final'!#REF!="Catastrófico"),CONCATENATE("R",'Mapa final'!#REF!),"")</f>
        <v>#REF!</v>
      </c>
      <c r="AM24" s="318"/>
      <c r="AN24" s="75"/>
      <c r="AO24" s="281"/>
      <c r="AP24" s="282"/>
      <c r="AQ24" s="282"/>
      <c r="AR24" s="282"/>
      <c r="AS24" s="282"/>
      <c r="AT24" s="283"/>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58"/>
      <c r="C25" s="258"/>
      <c r="D25" s="259"/>
      <c r="E25" s="299"/>
      <c r="F25" s="300"/>
      <c r="G25" s="300"/>
      <c r="H25" s="300"/>
      <c r="I25" s="301"/>
      <c r="J25" s="325"/>
      <c r="K25" s="326"/>
      <c r="L25" s="326"/>
      <c r="M25" s="326"/>
      <c r="N25" s="326"/>
      <c r="O25" s="327"/>
      <c r="P25" s="325"/>
      <c r="Q25" s="326"/>
      <c r="R25" s="326"/>
      <c r="S25" s="326"/>
      <c r="T25" s="326"/>
      <c r="U25" s="327"/>
      <c r="V25" s="325"/>
      <c r="W25" s="326"/>
      <c r="X25" s="326"/>
      <c r="Y25" s="326"/>
      <c r="Z25" s="326"/>
      <c r="AA25" s="327"/>
      <c r="AB25" s="309"/>
      <c r="AC25" s="305"/>
      <c r="AD25" s="305"/>
      <c r="AE25" s="305"/>
      <c r="AF25" s="305"/>
      <c r="AG25" s="306"/>
      <c r="AH25" s="316"/>
      <c r="AI25" s="317"/>
      <c r="AJ25" s="317"/>
      <c r="AK25" s="317"/>
      <c r="AL25" s="317"/>
      <c r="AM25" s="318"/>
      <c r="AN25" s="75"/>
      <c r="AO25" s="281"/>
      <c r="AP25" s="282"/>
      <c r="AQ25" s="282"/>
      <c r="AR25" s="282"/>
      <c r="AS25" s="282"/>
      <c r="AT25" s="283"/>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58"/>
      <c r="C26" s="258"/>
      <c r="D26" s="259"/>
      <c r="E26" s="299"/>
      <c r="F26" s="300"/>
      <c r="G26" s="300"/>
      <c r="H26" s="300"/>
      <c r="I26" s="301"/>
      <c r="J26" s="325" t="e">
        <f>IF(AND('Mapa final'!#REF!="Media",'Mapa final'!#REF!="Leve"),CONCATENATE("R",'Mapa final'!#REF!),"")</f>
        <v>#REF!</v>
      </c>
      <c r="K26" s="326"/>
      <c r="L26" s="326" t="e">
        <f>IF(AND('Mapa final'!#REF!="Media",'Mapa final'!#REF!="Leve"),CONCATENATE("R",'Mapa final'!#REF!),"")</f>
        <v>#REF!</v>
      </c>
      <c r="M26" s="326"/>
      <c r="N26" s="326" t="e">
        <f>IF(AND('Mapa final'!#REF!="Media",'Mapa final'!#REF!="Leve"),CONCATENATE("R",'Mapa final'!#REF!),"")</f>
        <v>#REF!</v>
      </c>
      <c r="O26" s="327"/>
      <c r="P26" s="325" t="e">
        <f>IF(AND('Mapa final'!#REF!="Media",'Mapa final'!#REF!="Menor"),CONCATENATE("R",'Mapa final'!#REF!),"")</f>
        <v>#REF!</v>
      </c>
      <c r="Q26" s="326"/>
      <c r="R26" s="326" t="e">
        <f>IF(AND('Mapa final'!#REF!="Media",'Mapa final'!#REF!="Menor"),CONCATENATE("R",'Mapa final'!#REF!),"")</f>
        <v>#REF!</v>
      </c>
      <c r="S26" s="326"/>
      <c r="T26" s="326" t="e">
        <f>IF(AND('Mapa final'!#REF!="Media",'Mapa final'!#REF!="Menor"),CONCATENATE("R",'Mapa final'!#REF!),"")</f>
        <v>#REF!</v>
      </c>
      <c r="U26" s="327"/>
      <c r="V26" s="325" t="e">
        <f>IF(AND('Mapa final'!#REF!="Media",'Mapa final'!#REF!="Moderado"),CONCATENATE("R",'Mapa final'!#REF!),"")</f>
        <v>#REF!</v>
      </c>
      <c r="W26" s="326"/>
      <c r="X26" s="326" t="e">
        <f>IF(AND('Mapa final'!#REF!="Media",'Mapa final'!#REF!="Moderado"),CONCATENATE("R",'Mapa final'!#REF!),"")</f>
        <v>#REF!</v>
      </c>
      <c r="Y26" s="326"/>
      <c r="Z26" s="326" t="e">
        <f>IF(AND('Mapa final'!#REF!="Media",'Mapa final'!#REF!="Moderado"),CONCATENATE("R",'Mapa final'!#REF!),"")</f>
        <v>#REF!</v>
      </c>
      <c r="AA26" s="327"/>
      <c r="AB26" s="309" t="e">
        <f>IF(AND('Mapa final'!#REF!="Media",'Mapa final'!#REF!="Mayor"),CONCATENATE("R",'Mapa final'!#REF!),"")</f>
        <v>#REF!</v>
      </c>
      <c r="AC26" s="305"/>
      <c r="AD26" s="305" t="e">
        <f>IF(AND('Mapa final'!#REF!="Media",'Mapa final'!#REF!="Mayor"),CONCATENATE("R",'Mapa final'!#REF!),"")</f>
        <v>#REF!</v>
      </c>
      <c r="AE26" s="305"/>
      <c r="AF26" s="305" t="e">
        <f>IF(AND('Mapa final'!#REF!="Media",'Mapa final'!#REF!="Mayor"),CONCATENATE("R",'Mapa final'!#REF!),"")</f>
        <v>#REF!</v>
      </c>
      <c r="AG26" s="306"/>
      <c r="AH26" s="316" t="e">
        <f>IF(AND('Mapa final'!#REF!="Media",'Mapa final'!#REF!="Catastrófico"),CONCATENATE("R",'Mapa final'!#REF!),"")</f>
        <v>#REF!</v>
      </c>
      <c r="AI26" s="317"/>
      <c r="AJ26" s="317" t="e">
        <f>IF(AND('Mapa final'!#REF!="Media",'Mapa final'!#REF!="Catastrófico"),CONCATENATE("R",'Mapa final'!#REF!),"")</f>
        <v>#REF!</v>
      </c>
      <c r="AK26" s="317"/>
      <c r="AL26" s="317" t="e">
        <f>IF(AND('Mapa final'!#REF!="Media",'Mapa final'!#REF!="Catastrófico"),CONCATENATE("R",'Mapa final'!#REF!),"")</f>
        <v>#REF!</v>
      </c>
      <c r="AM26" s="318"/>
      <c r="AN26" s="75"/>
      <c r="AO26" s="281"/>
      <c r="AP26" s="282"/>
      <c r="AQ26" s="282"/>
      <c r="AR26" s="282"/>
      <c r="AS26" s="282"/>
      <c r="AT26" s="283"/>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58"/>
      <c r="C27" s="258"/>
      <c r="D27" s="259"/>
      <c r="E27" s="299"/>
      <c r="F27" s="300"/>
      <c r="G27" s="300"/>
      <c r="H27" s="300"/>
      <c r="I27" s="301"/>
      <c r="J27" s="325"/>
      <c r="K27" s="326"/>
      <c r="L27" s="326"/>
      <c r="M27" s="326"/>
      <c r="N27" s="326"/>
      <c r="O27" s="327"/>
      <c r="P27" s="325"/>
      <c r="Q27" s="326"/>
      <c r="R27" s="326"/>
      <c r="S27" s="326"/>
      <c r="T27" s="326"/>
      <c r="U27" s="327"/>
      <c r="V27" s="325"/>
      <c r="W27" s="326"/>
      <c r="X27" s="326"/>
      <c r="Y27" s="326"/>
      <c r="Z27" s="326"/>
      <c r="AA27" s="327"/>
      <c r="AB27" s="309"/>
      <c r="AC27" s="305"/>
      <c r="AD27" s="305"/>
      <c r="AE27" s="305"/>
      <c r="AF27" s="305"/>
      <c r="AG27" s="306"/>
      <c r="AH27" s="316"/>
      <c r="AI27" s="317"/>
      <c r="AJ27" s="317"/>
      <c r="AK27" s="317"/>
      <c r="AL27" s="317"/>
      <c r="AM27" s="318"/>
      <c r="AN27" s="75"/>
      <c r="AO27" s="281"/>
      <c r="AP27" s="282"/>
      <c r="AQ27" s="282"/>
      <c r="AR27" s="282"/>
      <c r="AS27" s="282"/>
      <c r="AT27" s="283"/>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58"/>
      <c r="C28" s="258"/>
      <c r="D28" s="259"/>
      <c r="E28" s="299"/>
      <c r="F28" s="300"/>
      <c r="G28" s="300"/>
      <c r="H28" s="300"/>
      <c r="I28" s="301"/>
      <c r="J28" s="325" t="e">
        <f>IF(AND('Mapa final'!#REF!="Media",'Mapa final'!#REF!="Leve"),CONCATENATE("R",'Mapa final'!#REF!),"")</f>
        <v>#REF!</v>
      </c>
      <c r="K28" s="326"/>
      <c r="L28" s="326" t="str">
        <f>IF(AND('Mapa final'!$L$16="Media",'Mapa final'!$P$16="Leve"),CONCATENATE("R",'Mapa final'!$A$16),"")</f>
        <v/>
      </c>
      <c r="M28" s="326"/>
      <c r="N28" s="326" t="str">
        <f>IF(AND('Mapa final'!$L$18="Media",'Mapa final'!$P$18="Leve"),CONCATENATE("R",'Mapa final'!$A$18),"")</f>
        <v/>
      </c>
      <c r="O28" s="327"/>
      <c r="P28" s="325" t="e">
        <f>IF(AND('Mapa final'!#REF!="Media",'Mapa final'!#REF!="Menor"),CONCATENATE("R",'Mapa final'!#REF!),"")</f>
        <v>#REF!</v>
      </c>
      <c r="Q28" s="326"/>
      <c r="R28" s="326" t="str">
        <f>IF(AND('Mapa final'!$L$16="Media",'Mapa final'!$P$16="Menor"),CONCATENATE("R",'Mapa final'!$A$16),"")</f>
        <v/>
      </c>
      <c r="S28" s="326"/>
      <c r="T28" s="326" t="str">
        <f>IF(AND('Mapa final'!$L$18="Media",'Mapa final'!$P$18="Menor"),CONCATENATE("R",'Mapa final'!$A$18),"")</f>
        <v/>
      </c>
      <c r="U28" s="327"/>
      <c r="V28" s="325" t="e">
        <f>IF(AND('Mapa final'!#REF!="Media",'Mapa final'!#REF!="Moderado"),CONCATENATE("R",'Mapa final'!#REF!),"")</f>
        <v>#REF!</v>
      </c>
      <c r="W28" s="326"/>
      <c r="X28" s="326" t="str">
        <f>IF(AND('Mapa final'!$L$16="Media",'Mapa final'!$P$16="Moderado"),CONCATENATE("R",'Mapa final'!$A$16),"")</f>
        <v/>
      </c>
      <c r="Y28" s="326"/>
      <c r="Z28" s="326" t="str">
        <f>IF(AND('Mapa final'!$L$18="Media",'Mapa final'!$P$18="Moderado"),CONCATENATE("R",'Mapa final'!$A$18),"")</f>
        <v/>
      </c>
      <c r="AA28" s="327"/>
      <c r="AB28" s="309" t="e">
        <f>IF(AND('Mapa final'!#REF!="Media",'Mapa final'!#REF!="Mayor"),CONCATENATE("R",'Mapa final'!#REF!),"")</f>
        <v>#REF!</v>
      </c>
      <c r="AC28" s="305"/>
      <c r="AD28" s="305" t="str">
        <f>IF(AND('Mapa final'!$L$16="Media",'Mapa final'!$P$16="Mayor"),CONCATENATE("R",'Mapa final'!$A$16),"")</f>
        <v/>
      </c>
      <c r="AE28" s="305"/>
      <c r="AF28" s="305" t="str">
        <f>IF(AND('Mapa final'!$L$18="Media",'Mapa final'!$P$18="Mayor"),CONCATENATE("R",'Mapa final'!$A$18),"")</f>
        <v/>
      </c>
      <c r="AG28" s="306"/>
      <c r="AH28" s="316" t="e">
        <f>IF(AND('Mapa final'!#REF!="Media",'Mapa final'!#REF!="Catastrófico"),CONCATENATE("R",'Mapa final'!#REF!),"")</f>
        <v>#REF!</v>
      </c>
      <c r="AI28" s="317"/>
      <c r="AJ28" s="317" t="str">
        <f>IF(AND('Mapa final'!$L$16="Media",'Mapa final'!$P$16="Catastrófico"),CONCATENATE("R",'Mapa final'!$A$16),"")</f>
        <v/>
      </c>
      <c r="AK28" s="317"/>
      <c r="AL28" s="317" t="str">
        <f>IF(AND('Mapa final'!$L$18="Media",'Mapa final'!$P$18="Catastrófico"),CONCATENATE("R",'Mapa final'!$A$18),"")</f>
        <v/>
      </c>
      <c r="AM28" s="318"/>
      <c r="AN28" s="75"/>
      <c r="AO28" s="281"/>
      <c r="AP28" s="282"/>
      <c r="AQ28" s="282"/>
      <c r="AR28" s="282"/>
      <c r="AS28" s="282"/>
      <c r="AT28" s="283"/>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58"/>
      <c r="C29" s="258"/>
      <c r="D29" s="259"/>
      <c r="E29" s="302"/>
      <c r="F29" s="303"/>
      <c r="G29" s="303"/>
      <c r="H29" s="303"/>
      <c r="I29" s="304"/>
      <c r="J29" s="325"/>
      <c r="K29" s="326"/>
      <c r="L29" s="326"/>
      <c r="M29" s="326"/>
      <c r="N29" s="326"/>
      <c r="O29" s="327"/>
      <c r="P29" s="328"/>
      <c r="Q29" s="329"/>
      <c r="R29" s="329"/>
      <c r="S29" s="329"/>
      <c r="T29" s="329"/>
      <c r="U29" s="330"/>
      <c r="V29" s="328"/>
      <c r="W29" s="329"/>
      <c r="X29" s="329"/>
      <c r="Y29" s="329"/>
      <c r="Z29" s="329"/>
      <c r="AA29" s="330"/>
      <c r="AB29" s="313"/>
      <c r="AC29" s="314"/>
      <c r="AD29" s="314"/>
      <c r="AE29" s="314"/>
      <c r="AF29" s="314"/>
      <c r="AG29" s="315"/>
      <c r="AH29" s="319"/>
      <c r="AI29" s="320"/>
      <c r="AJ29" s="320"/>
      <c r="AK29" s="320"/>
      <c r="AL29" s="320"/>
      <c r="AM29" s="321"/>
      <c r="AN29" s="75"/>
      <c r="AO29" s="284"/>
      <c r="AP29" s="285"/>
      <c r="AQ29" s="285"/>
      <c r="AR29" s="285"/>
      <c r="AS29" s="285"/>
      <c r="AT29" s="286"/>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58"/>
      <c r="C30" s="258"/>
      <c r="D30" s="259"/>
      <c r="E30" s="296" t="s">
        <v>176</v>
      </c>
      <c r="F30" s="297"/>
      <c r="G30" s="297"/>
      <c r="H30" s="297"/>
      <c r="I30" s="297"/>
      <c r="J30" s="340" t="e">
        <f>IF(AND('Mapa final'!#REF!="Baja",'Mapa final'!#REF!="Leve"),CONCATENATE("R",'Mapa final'!#REF!),"")</f>
        <v>#REF!</v>
      </c>
      <c r="K30" s="341"/>
      <c r="L30" s="341" t="str">
        <f>IF(AND('Mapa final'!$L$13="Baja",'Mapa final'!$P$13="Leve"),CONCATENATE("R",'Mapa final'!$A$13),"")</f>
        <v/>
      </c>
      <c r="M30" s="341"/>
      <c r="N30" s="341" t="e">
        <f>IF(AND('Mapa final'!#REF!="Baja",'Mapa final'!#REF!="Leve"),CONCATENATE("R",'Mapa final'!#REF!),"")</f>
        <v>#REF!</v>
      </c>
      <c r="O30" s="342"/>
      <c r="P30" s="332" t="e">
        <f>IF(AND('Mapa final'!#REF!="Baja",'Mapa final'!#REF!="Menor"),CONCATENATE("R",'Mapa final'!#REF!),"")</f>
        <v>#REF!</v>
      </c>
      <c r="Q30" s="332"/>
      <c r="R30" s="332" t="str">
        <f>IF(AND('Mapa final'!$L$13="Baja",'Mapa final'!$P$13="Menor"),CONCATENATE("R",'Mapa final'!$A$13),"")</f>
        <v/>
      </c>
      <c r="S30" s="332"/>
      <c r="T30" s="332" t="e">
        <f>IF(AND('Mapa final'!#REF!="Baja",'Mapa final'!#REF!="Menor"),CONCATENATE("R",'Mapa final'!#REF!),"")</f>
        <v>#REF!</v>
      </c>
      <c r="U30" s="333"/>
      <c r="V30" s="331" t="e">
        <f>IF(AND('Mapa final'!#REF!="Baja",'Mapa final'!#REF!="Moderado"),CONCATENATE("R",'Mapa final'!#REF!),"")</f>
        <v>#REF!</v>
      </c>
      <c r="W30" s="332"/>
      <c r="X30" s="332" t="str">
        <f>IF(AND('Mapa final'!$L$13="Baja",'Mapa final'!$P$13="Moderado"),CONCATENATE("R",'Mapa final'!$A$13),"")</f>
        <v/>
      </c>
      <c r="Y30" s="332"/>
      <c r="Z30" s="332" t="e">
        <f>IF(AND('Mapa final'!#REF!="Baja",'Mapa final'!#REF!="Moderado"),CONCATENATE("R",'Mapa final'!#REF!),"")</f>
        <v>#REF!</v>
      </c>
      <c r="AA30" s="333"/>
      <c r="AB30" s="307" t="e">
        <f>IF(AND('Mapa final'!#REF!="Baja",'Mapa final'!#REF!="Mayor"),CONCATENATE("R",'Mapa final'!#REF!),"")</f>
        <v>#REF!</v>
      </c>
      <c r="AC30" s="308"/>
      <c r="AD30" s="308" t="str">
        <f>IF(AND('Mapa final'!$L$13="Baja",'Mapa final'!$P$13="Mayor"),CONCATENATE("R",'Mapa final'!$A$13),"")</f>
        <v/>
      </c>
      <c r="AE30" s="308"/>
      <c r="AF30" s="308" t="e">
        <f>IF(AND('Mapa final'!#REF!="Baja",'Mapa final'!#REF!="Mayor"),CONCATENATE("R",'Mapa final'!#REF!),"")</f>
        <v>#REF!</v>
      </c>
      <c r="AG30" s="310"/>
      <c r="AH30" s="322" t="e">
        <f>IF(AND('Mapa final'!#REF!="Baja",'Mapa final'!#REF!="Catastrófico"),CONCATENATE("R",'Mapa final'!#REF!),"")</f>
        <v>#REF!</v>
      </c>
      <c r="AI30" s="323"/>
      <c r="AJ30" s="323" t="str">
        <f>IF(AND('Mapa final'!$L$13="Baja",'Mapa final'!$P$13="Catastrófico"),CONCATENATE("R",'Mapa final'!$A$13),"")</f>
        <v/>
      </c>
      <c r="AK30" s="323"/>
      <c r="AL30" s="323" t="e">
        <f>IF(AND('Mapa final'!#REF!="Baja",'Mapa final'!#REF!="Catastrófico"),CONCATENATE("R",'Mapa final'!#REF!),"")</f>
        <v>#REF!</v>
      </c>
      <c r="AM30" s="324"/>
      <c r="AN30" s="75"/>
      <c r="AO30" s="287" t="s">
        <v>177</v>
      </c>
      <c r="AP30" s="288"/>
      <c r="AQ30" s="288"/>
      <c r="AR30" s="288"/>
      <c r="AS30" s="288"/>
      <c r="AT30" s="28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58"/>
      <c r="C31" s="258"/>
      <c r="D31" s="259"/>
      <c r="E31" s="299"/>
      <c r="F31" s="300"/>
      <c r="G31" s="300"/>
      <c r="H31" s="300"/>
      <c r="I31" s="300"/>
      <c r="J31" s="336"/>
      <c r="K31" s="334"/>
      <c r="L31" s="334"/>
      <c r="M31" s="334"/>
      <c r="N31" s="334"/>
      <c r="O31" s="335"/>
      <c r="P31" s="326"/>
      <c r="Q31" s="326"/>
      <c r="R31" s="326"/>
      <c r="S31" s="326"/>
      <c r="T31" s="326"/>
      <c r="U31" s="327"/>
      <c r="V31" s="325"/>
      <c r="W31" s="326"/>
      <c r="X31" s="326"/>
      <c r="Y31" s="326"/>
      <c r="Z31" s="326"/>
      <c r="AA31" s="327"/>
      <c r="AB31" s="309"/>
      <c r="AC31" s="305"/>
      <c r="AD31" s="305"/>
      <c r="AE31" s="305"/>
      <c r="AF31" s="305"/>
      <c r="AG31" s="306"/>
      <c r="AH31" s="316"/>
      <c r="AI31" s="317"/>
      <c r="AJ31" s="317"/>
      <c r="AK31" s="317"/>
      <c r="AL31" s="317"/>
      <c r="AM31" s="318"/>
      <c r="AN31" s="75"/>
      <c r="AO31" s="290"/>
      <c r="AP31" s="291"/>
      <c r="AQ31" s="291"/>
      <c r="AR31" s="291"/>
      <c r="AS31" s="291"/>
      <c r="AT31" s="292"/>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58"/>
      <c r="C32" s="258"/>
      <c r="D32" s="259"/>
      <c r="E32" s="299"/>
      <c r="F32" s="300"/>
      <c r="G32" s="300"/>
      <c r="H32" s="300"/>
      <c r="I32" s="300"/>
      <c r="J32" s="336" t="e">
        <f>IF(AND('Mapa final'!#REF!="Baja",'Mapa final'!#REF!="Leve"),CONCATENATE("R",'Mapa final'!#REF!),"")</f>
        <v>#REF!</v>
      </c>
      <c r="K32" s="334"/>
      <c r="L32" s="334" t="e">
        <f>IF(AND('Mapa final'!#REF!="Baja",'Mapa final'!#REF!="Leve"),CONCATENATE("R",'Mapa final'!#REF!),"")</f>
        <v>#REF!</v>
      </c>
      <c r="M32" s="334"/>
      <c r="N32" s="334" t="e">
        <f>IF(AND('Mapa final'!#REF!="Baja",'Mapa final'!#REF!="Leve"),CONCATENATE("R",'Mapa final'!#REF!),"")</f>
        <v>#REF!</v>
      </c>
      <c r="O32" s="335"/>
      <c r="P32" s="326" t="e">
        <f>IF(AND('Mapa final'!#REF!="Baja",'Mapa final'!#REF!="Menor"),CONCATENATE("R",'Mapa final'!#REF!),"")</f>
        <v>#REF!</v>
      </c>
      <c r="Q32" s="326"/>
      <c r="R32" s="326" t="e">
        <f>IF(AND('Mapa final'!#REF!="Baja",'Mapa final'!#REF!="Menor"),CONCATENATE("R",'Mapa final'!#REF!),"")</f>
        <v>#REF!</v>
      </c>
      <c r="S32" s="326"/>
      <c r="T32" s="326" t="e">
        <f>IF(AND('Mapa final'!#REF!="Baja",'Mapa final'!#REF!="Menor"),CONCATENATE("R",'Mapa final'!#REF!),"")</f>
        <v>#REF!</v>
      </c>
      <c r="U32" s="327"/>
      <c r="V32" s="325" t="e">
        <f>IF(AND('Mapa final'!#REF!="Baja",'Mapa final'!#REF!="Moderado"),CONCATENATE("R",'Mapa final'!#REF!),"")</f>
        <v>#REF!</v>
      </c>
      <c r="W32" s="326"/>
      <c r="X32" s="326" t="e">
        <f>IF(AND('Mapa final'!#REF!="Baja",'Mapa final'!#REF!="Moderado"),CONCATENATE("R",'Mapa final'!#REF!),"")</f>
        <v>#REF!</v>
      </c>
      <c r="Y32" s="326"/>
      <c r="Z32" s="326" t="e">
        <f>IF(AND('Mapa final'!#REF!="Baja",'Mapa final'!#REF!="Moderado"),CONCATENATE("R",'Mapa final'!#REF!),"")</f>
        <v>#REF!</v>
      </c>
      <c r="AA32" s="327"/>
      <c r="AB32" s="309" t="e">
        <f>IF(AND('Mapa final'!#REF!="Baja",'Mapa final'!#REF!="Mayor"),CONCATENATE("R",'Mapa final'!#REF!),"")</f>
        <v>#REF!</v>
      </c>
      <c r="AC32" s="305"/>
      <c r="AD32" s="305" t="e">
        <f>IF(AND('Mapa final'!#REF!="Baja",'Mapa final'!#REF!="Mayor"),CONCATENATE("R",'Mapa final'!#REF!),"")</f>
        <v>#REF!</v>
      </c>
      <c r="AE32" s="305"/>
      <c r="AF32" s="305" t="e">
        <f>IF(AND('Mapa final'!#REF!="Baja",'Mapa final'!#REF!="Mayor"),CONCATENATE("R",'Mapa final'!#REF!),"")</f>
        <v>#REF!</v>
      </c>
      <c r="AG32" s="306"/>
      <c r="AH32" s="316" t="e">
        <f>IF(AND('Mapa final'!#REF!="Baja",'Mapa final'!#REF!="Catastrófico"),CONCATENATE("R",'Mapa final'!#REF!),"")</f>
        <v>#REF!</v>
      </c>
      <c r="AI32" s="317"/>
      <c r="AJ32" s="317" t="e">
        <f>IF(AND('Mapa final'!#REF!="Baja",'Mapa final'!#REF!="Catastrófico"),CONCATENATE("R",'Mapa final'!#REF!),"")</f>
        <v>#REF!</v>
      </c>
      <c r="AK32" s="317"/>
      <c r="AL32" s="317" t="e">
        <f>IF(AND('Mapa final'!#REF!="Baja",'Mapa final'!#REF!="Catastrófico"),CONCATENATE("R",'Mapa final'!#REF!),"")</f>
        <v>#REF!</v>
      </c>
      <c r="AM32" s="318"/>
      <c r="AN32" s="75"/>
      <c r="AO32" s="290"/>
      <c r="AP32" s="291"/>
      <c r="AQ32" s="291"/>
      <c r="AR32" s="291"/>
      <c r="AS32" s="291"/>
      <c r="AT32" s="292"/>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58"/>
      <c r="C33" s="258"/>
      <c r="D33" s="259"/>
      <c r="E33" s="299"/>
      <c r="F33" s="300"/>
      <c r="G33" s="300"/>
      <c r="H33" s="300"/>
      <c r="I33" s="300"/>
      <c r="J33" s="336"/>
      <c r="K33" s="334"/>
      <c r="L33" s="334"/>
      <c r="M33" s="334"/>
      <c r="N33" s="334"/>
      <c r="O33" s="335"/>
      <c r="P33" s="326"/>
      <c r="Q33" s="326"/>
      <c r="R33" s="326"/>
      <c r="S33" s="326"/>
      <c r="T33" s="326"/>
      <c r="U33" s="327"/>
      <c r="V33" s="325"/>
      <c r="W33" s="326"/>
      <c r="X33" s="326"/>
      <c r="Y33" s="326"/>
      <c r="Z33" s="326"/>
      <c r="AA33" s="327"/>
      <c r="AB33" s="309"/>
      <c r="AC33" s="305"/>
      <c r="AD33" s="305"/>
      <c r="AE33" s="305"/>
      <c r="AF33" s="305"/>
      <c r="AG33" s="306"/>
      <c r="AH33" s="316"/>
      <c r="AI33" s="317"/>
      <c r="AJ33" s="317"/>
      <c r="AK33" s="317"/>
      <c r="AL33" s="317"/>
      <c r="AM33" s="318"/>
      <c r="AN33" s="75"/>
      <c r="AO33" s="290"/>
      <c r="AP33" s="291"/>
      <c r="AQ33" s="291"/>
      <c r="AR33" s="291"/>
      <c r="AS33" s="291"/>
      <c r="AT33" s="292"/>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58"/>
      <c r="C34" s="258"/>
      <c r="D34" s="259"/>
      <c r="E34" s="299"/>
      <c r="F34" s="300"/>
      <c r="G34" s="300"/>
      <c r="H34" s="300"/>
      <c r="I34" s="300"/>
      <c r="J34" s="336" t="e">
        <f>IF(AND('Mapa final'!#REF!="Baja",'Mapa final'!#REF!="Leve"),CONCATENATE("R",'Mapa final'!#REF!),"")</f>
        <v>#REF!</v>
      </c>
      <c r="K34" s="334"/>
      <c r="L34" s="334" t="e">
        <f>IF(AND('Mapa final'!#REF!="Baja",'Mapa final'!#REF!="Leve"),CONCATENATE("R",'Mapa final'!#REF!),"")</f>
        <v>#REF!</v>
      </c>
      <c r="M34" s="334"/>
      <c r="N34" s="334" t="e">
        <f>IF(AND('Mapa final'!#REF!="Baja",'Mapa final'!#REF!="Leve"),CONCATENATE("R",'Mapa final'!#REF!),"")</f>
        <v>#REF!</v>
      </c>
      <c r="O34" s="335"/>
      <c r="P34" s="326" t="e">
        <f>IF(AND('Mapa final'!#REF!="Baja",'Mapa final'!#REF!="Menor"),CONCATENATE("R",'Mapa final'!#REF!),"")</f>
        <v>#REF!</v>
      </c>
      <c r="Q34" s="326"/>
      <c r="R34" s="326" t="e">
        <f>IF(AND('Mapa final'!#REF!="Baja",'Mapa final'!#REF!="Menor"),CONCATENATE("R",'Mapa final'!#REF!),"")</f>
        <v>#REF!</v>
      </c>
      <c r="S34" s="326"/>
      <c r="T34" s="326" t="e">
        <f>IF(AND('Mapa final'!#REF!="Baja",'Mapa final'!#REF!="Menor"),CONCATENATE("R",'Mapa final'!#REF!),"")</f>
        <v>#REF!</v>
      </c>
      <c r="U34" s="327"/>
      <c r="V34" s="325" t="e">
        <f>IF(AND('Mapa final'!#REF!="Baja",'Mapa final'!#REF!="Moderado"),CONCATENATE("R",'Mapa final'!#REF!),"")</f>
        <v>#REF!</v>
      </c>
      <c r="W34" s="326"/>
      <c r="X34" s="326" t="e">
        <f>IF(AND('Mapa final'!#REF!="Baja",'Mapa final'!#REF!="Moderado"),CONCATENATE("R",'Mapa final'!#REF!),"")</f>
        <v>#REF!</v>
      </c>
      <c r="Y34" s="326"/>
      <c r="Z34" s="326" t="e">
        <f>IF(AND('Mapa final'!#REF!="Baja",'Mapa final'!#REF!="Moderado"),CONCATENATE("R",'Mapa final'!#REF!),"")</f>
        <v>#REF!</v>
      </c>
      <c r="AA34" s="327"/>
      <c r="AB34" s="309" t="e">
        <f>IF(AND('Mapa final'!#REF!="Baja",'Mapa final'!#REF!="Mayor"),CONCATENATE("R",'Mapa final'!#REF!),"")</f>
        <v>#REF!</v>
      </c>
      <c r="AC34" s="305"/>
      <c r="AD34" s="305" t="e">
        <f>IF(AND('Mapa final'!#REF!="Baja",'Mapa final'!#REF!="Mayor"),CONCATENATE("R",'Mapa final'!#REF!),"")</f>
        <v>#REF!</v>
      </c>
      <c r="AE34" s="305"/>
      <c r="AF34" s="305" t="e">
        <f>IF(AND('Mapa final'!#REF!="Baja",'Mapa final'!#REF!="Mayor"),CONCATENATE("R",'Mapa final'!#REF!),"")</f>
        <v>#REF!</v>
      </c>
      <c r="AG34" s="306"/>
      <c r="AH34" s="316" t="e">
        <f>IF(AND('Mapa final'!#REF!="Baja",'Mapa final'!#REF!="Catastrófico"),CONCATENATE("R",'Mapa final'!#REF!),"")</f>
        <v>#REF!</v>
      </c>
      <c r="AI34" s="317"/>
      <c r="AJ34" s="317" t="e">
        <f>IF(AND('Mapa final'!#REF!="Baja",'Mapa final'!#REF!="Catastrófico"),CONCATENATE("R",'Mapa final'!#REF!),"")</f>
        <v>#REF!</v>
      </c>
      <c r="AK34" s="317"/>
      <c r="AL34" s="317" t="e">
        <f>IF(AND('Mapa final'!#REF!="Baja",'Mapa final'!#REF!="Catastrófico"),CONCATENATE("R",'Mapa final'!#REF!),"")</f>
        <v>#REF!</v>
      </c>
      <c r="AM34" s="318"/>
      <c r="AN34" s="75"/>
      <c r="AO34" s="290"/>
      <c r="AP34" s="291"/>
      <c r="AQ34" s="291"/>
      <c r="AR34" s="291"/>
      <c r="AS34" s="291"/>
      <c r="AT34" s="292"/>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58"/>
      <c r="C35" s="258"/>
      <c r="D35" s="259"/>
      <c r="E35" s="299"/>
      <c r="F35" s="300"/>
      <c r="G35" s="300"/>
      <c r="H35" s="300"/>
      <c r="I35" s="300"/>
      <c r="J35" s="336"/>
      <c r="K35" s="334"/>
      <c r="L35" s="334"/>
      <c r="M35" s="334"/>
      <c r="N35" s="334"/>
      <c r="O35" s="335"/>
      <c r="P35" s="326"/>
      <c r="Q35" s="326"/>
      <c r="R35" s="326"/>
      <c r="S35" s="326"/>
      <c r="T35" s="326"/>
      <c r="U35" s="327"/>
      <c r="V35" s="325"/>
      <c r="W35" s="326"/>
      <c r="X35" s="326"/>
      <c r="Y35" s="326"/>
      <c r="Z35" s="326"/>
      <c r="AA35" s="327"/>
      <c r="AB35" s="309"/>
      <c r="AC35" s="305"/>
      <c r="AD35" s="305"/>
      <c r="AE35" s="305"/>
      <c r="AF35" s="305"/>
      <c r="AG35" s="306"/>
      <c r="AH35" s="316"/>
      <c r="AI35" s="317"/>
      <c r="AJ35" s="317"/>
      <c r="AK35" s="317"/>
      <c r="AL35" s="317"/>
      <c r="AM35" s="318"/>
      <c r="AN35" s="75"/>
      <c r="AO35" s="290"/>
      <c r="AP35" s="291"/>
      <c r="AQ35" s="291"/>
      <c r="AR35" s="291"/>
      <c r="AS35" s="291"/>
      <c r="AT35" s="29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58"/>
      <c r="C36" s="258"/>
      <c r="D36" s="259"/>
      <c r="E36" s="299"/>
      <c r="F36" s="300"/>
      <c r="G36" s="300"/>
      <c r="H36" s="300"/>
      <c r="I36" s="300"/>
      <c r="J36" s="336" t="e">
        <f>IF(AND('Mapa final'!#REF!="Baja",'Mapa final'!#REF!="Leve"),CONCATENATE("R",'Mapa final'!#REF!),"")</f>
        <v>#REF!</v>
      </c>
      <c r="K36" s="334"/>
      <c r="L36" s="334" t="str">
        <f>IF(AND('Mapa final'!$L$16="Baja",'Mapa final'!$P$16="Leve"),CONCATENATE("R",'Mapa final'!$A$16),"")</f>
        <v/>
      </c>
      <c r="M36" s="334"/>
      <c r="N36" s="334" t="str">
        <f>IF(AND('Mapa final'!$L$18="Baja",'Mapa final'!$P$18="Leve"),CONCATENATE("R",'Mapa final'!$A$18),"")</f>
        <v/>
      </c>
      <c r="O36" s="335"/>
      <c r="P36" s="326" t="e">
        <f>IF(AND('Mapa final'!#REF!="Baja",'Mapa final'!#REF!="Menor"),CONCATENATE("R",'Mapa final'!#REF!),"")</f>
        <v>#REF!</v>
      </c>
      <c r="Q36" s="326"/>
      <c r="R36" s="326" t="str">
        <f>IF(AND('Mapa final'!$L$16="Baja",'Mapa final'!$P$16="Menor"),CONCATENATE("R",'Mapa final'!$A$16),"")</f>
        <v/>
      </c>
      <c r="S36" s="326"/>
      <c r="T36" s="326" t="str">
        <f>IF(AND('Mapa final'!$L$18="Baja",'Mapa final'!$P$18="Menor"),CONCATENATE("R",'Mapa final'!$A$18),"")</f>
        <v/>
      </c>
      <c r="U36" s="327"/>
      <c r="V36" s="325" t="e">
        <f>IF(AND('Mapa final'!#REF!="Baja",'Mapa final'!#REF!="Moderado"),CONCATENATE("R",'Mapa final'!#REF!),"")</f>
        <v>#REF!</v>
      </c>
      <c r="W36" s="326"/>
      <c r="X36" s="326" t="str">
        <f>IF(AND('Mapa final'!$L$16="Baja",'Mapa final'!$P$16="Moderado"),CONCATENATE("R",'Mapa final'!$A$16),"")</f>
        <v/>
      </c>
      <c r="Y36" s="326"/>
      <c r="Z36" s="326" t="str">
        <f>IF(AND('Mapa final'!$L$18="Baja",'Mapa final'!$P$18="Moderado"),CONCATENATE("R",'Mapa final'!$A$18),"")</f>
        <v/>
      </c>
      <c r="AA36" s="327"/>
      <c r="AB36" s="309" t="e">
        <f>IF(AND('Mapa final'!#REF!="Baja",'Mapa final'!#REF!="Mayor"),CONCATENATE("R",'Mapa final'!#REF!),"")</f>
        <v>#REF!</v>
      </c>
      <c r="AC36" s="305"/>
      <c r="AD36" s="305" t="str">
        <f>IF(AND('Mapa final'!$L$16="Baja",'Mapa final'!$P$16="Mayor"),CONCATENATE("R",'Mapa final'!$A$16),"")</f>
        <v/>
      </c>
      <c r="AE36" s="305"/>
      <c r="AF36" s="305" t="str">
        <f>IF(AND('Mapa final'!$L$18="Baja",'Mapa final'!$P$18="Mayor"),CONCATENATE("R",'Mapa final'!$A$18),"")</f>
        <v/>
      </c>
      <c r="AG36" s="306"/>
      <c r="AH36" s="316" t="e">
        <f>IF(AND('Mapa final'!#REF!="Baja",'Mapa final'!#REF!="Catastrófico"),CONCATENATE("R",'Mapa final'!#REF!),"")</f>
        <v>#REF!</v>
      </c>
      <c r="AI36" s="317"/>
      <c r="AJ36" s="317" t="str">
        <f>IF(AND('Mapa final'!$L$16="Baja",'Mapa final'!$P$16="Catastrófico"),CONCATENATE("R",'Mapa final'!$A$16),"")</f>
        <v/>
      </c>
      <c r="AK36" s="317"/>
      <c r="AL36" s="317" t="str">
        <f>IF(AND('Mapa final'!$L$18="Baja",'Mapa final'!$P$18="Catastrófico"),CONCATENATE("R",'Mapa final'!$A$18),"")</f>
        <v/>
      </c>
      <c r="AM36" s="318"/>
      <c r="AN36" s="75"/>
      <c r="AO36" s="290"/>
      <c r="AP36" s="291"/>
      <c r="AQ36" s="291"/>
      <c r="AR36" s="291"/>
      <c r="AS36" s="291"/>
      <c r="AT36" s="292"/>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58"/>
      <c r="C37" s="258"/>
      <c r="D37" s="259"/>
      <c r="E37" s="302"/>
      <c r="F37" s="303"/>
      <c r="G37" s="303"/>
      <c r="H37" s="303"/>
      <c r="I37" s="303"/>
      <c r="J37" s="337"/>
      <c r="K37" s="338"/>
      <c r="L37" s="338"/>
      <c r="M37" s="338"/>
      <c r="N37" s="338"/>
      <c r="O37" s="339"/>
      <c r="P37" s="329"/>
      <c r="Q37" s="329"/>
      <c r="R37" s="329"/>
      <c r="S37" s="329"/>
      <c r="T37" s="329"/>
      <c r="U37" s="330"/>
      <c r="V37" s="328"/>
      <c r="W37" s="329"/>
      <c r="X37" s="329"/>
      <c r="Y37" s="329"/>
      <c r="Z37" s="329"/>
      <c r="AA37" s="330"/>
      <c r="AB37" s="313"/>
      <c r="AC37" s="314"/>
      <c r="AD37" s="314"/>
      <c r="AE37" s="314"/>
      <c r="AF37" s="314"/>
      <c r="AG37" s="315"/>
      <c r="AH37" s="319"/>
      <c r="AI37" s="320"/>
      <c r="AJ37" s="320"/>
      <c r="AK37" s="320"/>
      <c r="AL37" s="320"/>
      <c r="AM37" s="321"/>
      <c r="AN37" s="75"/>
      <c r="AO37" s="293"/>
      <c r="AP37" s="294"/>
      <c r="AQ37" s="294"/>
      <c r="AR37" s="294"/>
      <c r="AS37" s="294"/>
      <c r="AT37" s="29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58"/>
      <c r="C38" s="258"/>
      <c r="D38" s="259"/>
      <c r="E38" s="296" t="s">
        <v>178</v>
      </c>
      <c r="F38" s="297"/>
      <c r="G38" s="297"/>
      <c r="H38" s="297"/>
      <c r="I38" s="298"/>
      <c r="J38" s="340" t="e">
        <f>IF(AND('Mapa final'!#REF!="Muy Baja",'Mapa final'!#REF!="Leve"),CONCATENATE("R",'Mapa final'!#REF!),"")</f>
        <v>#REF!</v>
      </c>
      <c r="K38" s="341"/>
      <c r="L38" s="341" t="str">
        <f>IF(AND('Mapa final'!$L$13="Muy Baja",'Mapa final'!$P$13="Leve"),CONCATENATE("R",'Mapa final'!$A$13),"")</f>
        <v/>
      </c>
      <c r="M38" s="341"/>
      <c r="N38" s="341" t="e">
        <f>IF(AND('Mapa final'!#REF!="Muy Baja",'Mapa final'!#REF!="Leve"),CONCATENATE("R",'Mapa final'!#REF!),"")</f>
        <v>#REF!</v>
      </c>
      <c r="O38" s="342"/>
      <c r="P38" s="340" t="e">
        <f>IF(AND('Mapa final'!#REF!="Muy Baja",'Mapa final'!#REF!="Menor"),CONCATENATE("R",'Mapa final'!#REF!),"")</f>
        <v>#REF!</v>
      </c>
      <c r="Q38" s="341"/>
      <c r="R38" s="341" t="str">
        <f>IF(AND('Mapa final'!$L$13="Muy Baja",'Mapa final'!$P$13="Menor"),CONCATENATE("R",'Mapa final'!$A$13),"")</f>
        <v/>
      </c>
      <c r="S38" s="341"/>
      <c r="T38" s="341" t="e">
        <f>IF(AND('Mapa final'!#REF!="Muy Baja",'Mapa final'!#REF!="Menor"),CONCATENATE("R",'Mapa final'!#REF!),"")</f>
        <v>#REF!</v>
      </c>
      <c r="U38" s="342"/>
      <c r="V38" s="331" t="e">
        <f>IF(AND('Mapa final'!#REF!="Muy Baja",'Mapa final'!#REF!="Moderado"),CONCATENATE("R",'Mapa final'!#REF!),"")</f>
        <v>#REF!</v>
      </c>
      <c r="W38" s="332"/>
      <c r="X38" s="332" t="str">
        <f>IF(AND('Mapa final'!$L$13="Muy Baja",'Mapa final'!$P$13="Moderado"),CONCATENATE("R",'Mapa final'!$A$13),"")</f>
        <v/>
      </c>
      <c r="Y38" s="332"/>
      <c r="Z38" s="332" t="e">
        <f>IF(AND('Mapa final'!#REF!="Muy Baja",'Mapa final'!#REF!="Moderado"),CONCATENATE("R",'Mapa final'!#REF!),"")</f>
        <v>#REF!</v>
      </c>
      <c r="AA38" s="333"/>
      <c r="AB38" s="307" t="e">
        <f>IF(AND('Mapa final'!#REF!="Muy Baja",'Mapa final'!#REF!="Mayor"),CONCATENATE("R",'Mapa final'!#REF!),"")</f>
        <v>#REF!</v>
      </c>
      <c r="AC38" s="308"/>
      <c r="AD38" s="308" t="str">
        <f>IF(AND('Mapa final'!$L$13="Muy Baja",'Mapa final'!$P$13="Mayor"),CONCATENATE("R",'Mapa final'!$A$13),"")</f>
        <v/>
      </c>
      <c r="AE38" s="308"/>
      <c r="AF38" s="308" t="e">
        <f>IF(AND('Mapa final'!#REF!="Muy Baja",'Mapa final'!#REF!="Mayor"),CONCATENATE("R",'Mapa final'!#REF!),"")</f>
        <v>#REF!</v>
      </c>
      <c r="AG38" s="310"/>
      <c r="AH38" s="322" t="e">
        <f>IF(AND('Mapa final'!#REF!="Muy Baja",'Mapa final'!#REF!="Catastrófico"),CONCATENATE("R",'Mapa final'!#REF!),"")</f>
        <v>#REF!</v>
      </c>
      <c r="AI38" s="323"/>
      <c r="AJ38" s="323" t="str">
        <f>IF(AND('Mapa final'!$L$13="Muy Baja",'Mapa final'!$P$13="Catastrófico"),CONCATENATE("R",'Mapa final'!$A$13),"")</f>
        <v/>
      </c>
      <c r="AK38" s="323"/>
      <c r="AL38" s="323" t="e">
        <f>IF(AND('Mapa final'!#REF!="Muy Baja",'Mapa final'!#REF!="Catastrófico"),CONCATENATE("R",'Mapa final'!#REF!),"")</f>
        <v>#REF!</v>
      </c>
      <c r="AM38" s="324"/>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58"/>
      <c r="C39" s="258"/>
      <c r="D39" s="259"/>
      <c r="E39" s="299"/>
      <c r="F39" s="300"/>
      <c r="G39" s="300"/>
      <c r="H39" s="300"/>
      <c r="I39" s="301"/>
      <c r="J39" s="336"/>
      <c r="K39" s="334"/>
      <c r="L39" s="334"/>
      <c r="M39" s="334"/>
      <c r="N39" s="334"/>
      <c r="O39" s="335"/>
      <c r="P39" s="336"/>
      <c r="Q39" s="334"/>
      <c r="R39" s="334"/>
      <c r="S39" s="334"/>
      <c r="T39" s="334"/>
      <c r="U39" s="335"/>
      <c r="V39" s="325"/>
      <c r="W39" s="326"/>
      <c r="X39" s="326"/>
      <c r="Y39" s="326"/>
      <c r="Z39" s="326"/>
      <c r="AA39" s="327"/>
      <c r="AB39" s="309"/>
      <c r="AC39" s="305"/>
      <c r="AD39" s="305"/>
      <c r="AE39" s="305"/>
      <c r="AF39" s="305"/>
      <c r="AG39" s="306"/>
      <c r="AH39" s="316"/>
      <c r="AI39" s="317"/>
      <c r="AJ39" s="317"/>
      <c r="AK39" s="317"/>
      <c r="AL39" s="317"/>
      <c r="AM39" s="318"/>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58"/>
      <c r="C40" s="258"/>
      <c r="D40" s="259"/>
      <c r="E40" s="299"/>
      <c r="F40" s="300"/>
      <c r="G40" s="300"/>
      <c r="H40" s="300"/>
      <c r="I40" s="301"/>
      <c r="J40" s="336" t="e">
        <f>IF(AND('Mapa final'!#REF!="Muy Baja",'Mapa final'!#REF!="Leve"),CONCATENATE("R",'Mapa final'!#REF!),"")</f>
        <v>#REF!</v>
      </c>
      <c r="K40" s="334"/>
      <c r="L40" s="334" t="e">
        <f>IF(AND('Mapa final'!#REF!="Muy Baja",'Mapa final'!#REF!="Leve"),CONCATENATE("R",'Mapa final'!#REF!),"")</f>
        <v>#REF!</v>
      </c>
      <c r="M40" s="334"/>
      <c r="N40" s="334" t="e">
        <f>IF(AND('Mapa final'!#REF!="Muy Baja",'Mapa final'!#REF!="Leve"),CONCATENATE("R",'Mapa final'!#REF!),"")</f>
        <v>#REF!</v>
      </c>
      <c r="O40" s="335"/>
      <c r="P40" s="336" t="e">
        <f>IF(AND('Mapa final'!#REF!="Muy Baja",'Mapa final'!#REF!="Menor"),CONCATENATE("R",'Mapa final'!#REF!),"")</f>
        <v>#REF!</v>
      </c>
      <c r="Q40" s="334"/>
      <c r="R40" s="334" t="e">
        <f>IF(AND('Mapa final'!#REF!="Muy Baja",'Mapa final'!#REF!="Menor"),CONCATENATE("R",'Mapa final'!#REF!),"")</f>
        <v>#REF!</v>
      </c>
      <c r="S40" s="334"/>
      <c r="T40" s="334" t="e">
        <f>IF(AND('Mapa final'!#REF!="Muy Baja",'Mapa final'!#REF!="Menor"),CONCATENATE("R",'Mapa final'!#REF!),"")</f>
        <v>#REF!</v>
      </c>
      <c r="U40" s="335"/>
      <c r="V40" s="325" t="e">
        <f>IF(AND('Mapa final'!#REF!="Muy Baja",'Mapa final'!#REF!="Moderado"),CONCATENATE("R",'Mapa final'!#REF!),"")</f>
        <v>#REF!</v>
      </c>
      <c r="W40" s="326"/>
      <c r="X40" s="326" t="e">
        <f>IF(AND('Mapa final'!#REF!="Muy Baja",'Mapa final'!#REF!="Moderado"),CONCATENATE("R",'Mapa final'!#REF!),"")</f>
        <v>#REF!</v>
      </c>
      <c r="Y40" s="326"/>
      <c r="Z40" s="326" t="e">
        <f>IF(AND('Mapa final'!#REF!="Muy Baja",'Mapa final'!#REF!="Moderado"),CONCATENATE("R",'Mapa final'!#REF!),"")</f>
        <v>#REF!</v>
      </c>
      <c r="AA40" s="327"/>
      <c r="AB40" s="309" t="e">
        <f>IF(AND('Mapa final'!#REF!="Muy Baja",'Mapa final'!#REF!="Mayor"),CONCATENATE("R",'Mapa final'!#REF!),"")</f>
        <v>#REF!</v>
      </c>
      <c r="AC40" s="305"/>
      <c r="AD40" s="305" t="e">
        <f>IF(AND('Mapa final'!#REF!="Muy Baja",'Mapa final'!#REF!="Mayor"),CONCATENATE("R",'Mapa final'!#REF!),"")</f>
        <v>#REF!</v>
      </c>
      <c r="AE40" s="305"/>
      <c r="AF40" s="305" t="e">
        <f>IF(AND('Mapa final'!#REF!="Muy Baja",'Mapa final'!#REF!="Mayor"),CONCATENATE("R",'Mapa final'!#REF!),"")</f>
        <v>#REF!</v>
      </c>
      <c r="AG40" s="306"/>
      <c r="AH40" s="316" t="e">
        <f>IF(AND('Mapa final'!#REF!="Muy Baja",'Mapa final'!#REF!="Catastrófico"),CONCATENATE("R",'Mapa final'!#REF!),"")</f>
        <v>#REF!</v>
      </c>
      <c r="AI40" s="317"/>
      <c r="AJ40" s="317" t="e">
        <f>IF(AND('Mapa final'!#REF!="Muy Baja",'Mapa final'!#REF!="Catastrófico"),CONCATENATE("R",'Mapa final'!#REF!),"")</f>
        <v>#REF!</v>
      </c>
      <c r="AK40" s="317"/>
      <c r="AL40" s="317" t="e">
        <f>IF(AND('Mapa final'!#REF!="Muy Baja",'Mapa final'!#REF!="Catastrófico"),CONCATENATE("R",'Mapa final'!#REF!),"")</f>
        <v>#REF!</v>
      </c>
      <c r="AM40" s="318"/>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58"/>
      <c r="C41" s="258"/>
      <c r="D41" s="259"/>
      <c r="E41" s="299"/>
      <c r="F41" s="300"/>
      <c r="G41" s="300"/>
      <c r="H41" s="300"/>
      <c r="I41" s="301"/>
      <c r="J41" s="336"/>
      <c r="K41" s="334"/>
      <c r="L41" s="334"/>
      <c r="M41" s="334"/>
      <c r="N41" s="334"/>
      <c r="O41" s="335"/>
      <c r="P41" s="336"/>
      <c r="Q41" s="334"/>
      <c r="R41" s="334"/>
      <c r="S41" s="334"/>
      <c r="T41" s="334"/>
      <c r="U41" s="335"/>
      <c r="V41" s="325"/>
      <c r="W41" s="326"/>
      <c r="X41" s="326"/>
      <c r="Y41" s="326"/>
      <c r="Z41" s="326"/>
      <c r="AA41" s="327"/>
      <c r="AB41" s="309"/>
      <c r="AC41" s="305"/>
      <c r="AD41" s="305"/>
      <c r="AE41" s="305"/>
      <c r="AF41" s="305"/>
      <c r="AG41" s="306"/>
      <c r="AH41" s="316"/>
      <c r="AI41" s="317"/>
      <c r="AJ41" s="317"/>
      <c r="AK41" s="317"/>
      <c r="AL41" s="317"/>
      <c r="AM41" s="318"/>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58"/>
      <c r="C42" s="258"/>
      <c r="D42" s="259"/>
      <c r="E42" s="299"/>
      <c r="F42" s="300"/>
      <c r="G42" s="300"/>
      <c r="H42" s="300"/>
      <c r="I42" s="301"/>
      <c r="J42" s="336" t="e">
        <f>IF(AND('Mapa final'!#REF!="Muy Baja",'Mapa final'!#REF!="Leve"),CONCATENATE("R",'Mapa final'!#REF!),"")</f>
        <v>#REF!</v>
      </c>
      <c r="K42" s="334"/>
      <c r="L42" s="334" t="e">
        <f>IF(AND('Mapa final'!#REF!="Muy Baja",'Mapa final'!#REF!="Leve"),CONCATENATE("R",'Mapa final'!#REF!),"")</f>
        <v>#REF!</v>
      </c>
      <c r="M42" s="334"/>
      <c r="N42" s="334" t="e">
        <f>IF(AND('Mapa final'!#REF!="Muy Baja",'Mapa final'!#REF!="Leve"),CONCATENATE("R",'Mapa final'!#REF!),"")</f>
        <v>#REF!</v>
      </c>
      <c r="O42" s="335"/>
      <c r="P42" s="336" t="e">
        <f>IF(AND('Mapa final'!#REF!="Muy Baja",'Mapa final'!#REF!="Menor"),CONCATENATE("R",'Mapa final'!#REF!),"")</f>
        <v>#REF!</v>
      </c>
      <c r="Q42" s="334"/>
      <c r="R42" s="334" t="e">
        <f>IF(AND('Mapa final'!#REF!="Muy Baja",'Mapa final'!#REF!="Menor"),CONCATENATE("R",'Mapa final'!#REF!),"")</f>
        <v>#REF!</v>
      </c>
      <c r="S42" s="334"/>
      <c r="T42" s="334" t="e">
        <f>IF(AND('Mapa final'!#REF!="Muy Baja",'Mapa final'!#REF!="Menor"),CONCATENATE("R",'Mapa final'!#REF!),"")</f>
        <v>#REF!</v>
      </c>
      <c r="U42" s="335"/>
      <c r="V42" s="325" t="e">
        <f>IF(AND('Mapa final'!#REF!="Muy Baja",'Mapa final'!#REF!="Moderado"),CONCATENATE("R",'Mapa final'!#REF!),"")</f>
        <v>#REF!</v>
      </c>
      <c r="W42" s="326"/>
      <c r="X42" s="326" t="e">
        <f>IF(AND('Mapa final'!#REF!="Muy Baja",'Mapa final'!#REF!="Moderado"),CONCATENATE("R",'Mapa final'!#REF!),"")</f>
        <v>#REF!</v>
      </c>
      <c r="Y42" s="326"/>
      <c r="Z42" s="326" t="e">
        <f>IF(AND('Mapa final'!#REF!="Muy Baja",'Mapa final'!#REF!="Moderado"),CONCATENATE("R",'Mapa final'!#REF!),"")</f>
        <v>#REF!</v>
      </c>
      <c r="AA42" s="327"/>
      <c r="AB42" s="309" t="e">
        <f>IF(AND('Mapa final'!#REF!="Muy Baja",'Mapa final'!#REF!="Mayor"),CONCATENATE("R",'Mapa final'!#REF!),"")</f>
        <v>#REF!</v>
      </c>
      <c r="AC42" s="305"/>
      <c r="AD42" s="305" t="e">
        <f>IF(AND('Mapa final'!#REF!="Muy Baja",'Mapa final'!#REF!="Mayor"),CONCATENATE("R",'Mapa final'!#REF!),"")</f>
        <v>#REF!</v>
      </c>
      <c r="AE42" s="305"/>
      <c r="AF42" s="305" t="e">
        <f>IF(AND('Mapa final'!#REF!="Muy Baja",'Mapa final'!#REF!="Mayor"),CONCATENATE("R",'Mapa final'!#REF!),"")</f>
        <v>#REF!</v>
      </c>
      <c r="AG42" s="306"/>
      <c r="AH42" s="316" t="e">
        <f>IF(AND('Mapa final'!#REF!="Muy Baja",'Mapa final'!#REF!="Catastrófico"),CONCATENATE("R",'Mapa final'!#REF!),"")</f>
        <v>#REF!</v>
      </c>
      <c r="AI42" s="317"/>
      <c r="AJ42" s="317" t="e">
        <f>IF(AND('Mapa final'!#REF!="Muy Baja",'Mapa final'!#REF!="Catastrófico"),CONCATENATE("R",'Mapa final'!#REF!),"")</f>
        <v>#REF!</v>
      </c>
      <c r="AK42" s="317"/>
      <c r="AL42" s="317" t="e">
        <f>IF(AND('Mapa final'!#REF!="Muy Baja",'Mapa final'!#REF!="Catastrófico"),CONCATENATE("R",'Mapa final'!#REF!),"")</f>
        <v>#REF!</v>
      </c>
      <c r="AM42" s="318"/>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58"/>
      <c r="C43" s="258"/>
      <c r="D43" s="259"/>
      <c r="E43" s="299"/>
      <c r="F43" s="300"/>
      <c r="G43" s="300"/>
      <c r="H43" s="300"/>
      <c r="I43" s="301"/>
      <c r="J43" s="336"/>
      <c r="K43" s="334"/>
      <c r="L43" s="334"/>
      <c r="M43" s="334"/>
      <c r="N43" s="334"/>
      <c r="O43" s="335"/>
      <c r="P43" s="336"/>
      <c r="Q43" s="334"/>
      <c r="R43" s="334"/>
      <c r="S43" s="334"/>
      <c r="T43" s="334"/>
      <c r="U43" s="335"/>
      <c r="V43" s="325"/>
      <c r="W43" s="326"/>
      <c r="X43" s="326"/>
      <c r="Y43" s="326"/>
      <c r="Z43" s="326"/>
      <c r="AA43" s="327"/>
      <c r="AB43" s="309"/>
      <c r="AC43" s="305"/>
      <c r="AD43" s="305"/>
      <c r="AE43" s="305"/>
      <c r="AF43" s="305"/>
      <c r="AG43" s="306"/>
      <c r="AH43" s="316"/>
      <c r="AI43" s="317"/>
      <c r="AJ43" s="317"/>
      <c r="AK43" s="317"/>
      <c r="AL43" s="317"/>
      <c r="AM43" s="318"/>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58"/>
      <c r="C44" s="258"/>
      <c r="D44" s="259"/>
      <c r="E44" s="299"/>
      <c r="F44" s="300"/>
      <c r="G44" s="300"/>
      <c r="H44" s="300"/>
      <c r="I44" s="301"/>
      <c r="J44" s="336" t="e">
        <f>IF(AND('Mapa final'!#REF!="Muy Baja",'Mapa final'!#REF!="Leve"),CONCATENATE("R",'Mapa final'!#REF!),"")</f>
        <v>#REF!</v>
      </c>
      <c r="K44" s="334"/>
      <c r="L44" s="334" t="str">
        <f>IF(AND('Mapa final'!$L$16="Muy Baja",'Mapa final'!$P$16="Leve"),CONCATENATE("R",'Mapa final'!$A$16),"")</f>
        <v/>
      </c>
      <c r="M44" s="334"/>
      <c r="N44" s="334" t="str">
        <f>IF(AND('Mapa final'!$L$18="Muy Baja",'Mapa final'!$P$18="Leve"),CONCATENATE("R",'Mapa final'!$A$18),"")</f>
        <v/>
      </c>
      <c r="O44" s="335"/>
      <c r="P44" s="336" t="e">
        <f>IF(AND('Mapa final'!#REF!="Muy Baja",'Mapa final'!#REF!="Menor"),CONCATENATE("R",'Mapa final'!#REF!),"")</f>
        <v>#REF!</v>
      </c>
      <c r="Q44" s="334"/>
      <c r="R44" s="334" t="str">
        <f>IF(AND('Mapa final'!$L$16="Muy Baja",'Mapa final'!$P$16="Menor"),CONCATENATE("R",'Mapa final'!$A$16),"")</f>
        <v/>
      </c>
      <c r="S44" s="334"/>
      <c r="T44" s="334" t="str">
        <f>IF(AND('Mapa final'!$L$18="Muy Baja",'Mapa final'!$P$18="Menor"),CONCATENATE("R",'Mapa final'!$A$18),"")</f>
        <v/>
      </c>
      <c r="U44" s="335"/>
      <c r="V44" s="325" t="e">
        <f>IF(AND('Mapa final'!#REF!="Muy Baja",'Mapa final'!#REF!="Moderado"),CONCATENATE("R",'Mapa final'!#REF!),"")</f>
        <v>#REF!</v>
      </c>
      <c r="W44" s="326"/>
      <c r="X44" s="326" t="str">
        <f>IF(AND('Mapa final'!$L$16="Muy Baja",'Mapa final'!$P$16="Moderado"),CONCATENATE("R",'Mapa final'!$A$16),"")</f>
        <v/>
      </c>
      <c r="Y44" s="326"/>
      <c r="Z44" s="326" t="str">
        <f>IF(AND('Mapa final'!$L$18="Muy Baja",'Mapa final'!$P$18="Moderado"),CONCATENATE("R",'Mapa final'!$A$18),"")</f>
        <v/>
      </c>
      <c r="AA44" s="327"/>
      <c r="AB44" s="309" t="e">
        <f>IF(AND('Mapa final'!#REF!="Muy Baja",'Mapa final'!#REF!="Mayor"),CONCATENATE("R",'Mapa final'!#REF!),"")</f>
        <v>#REF!</v>
      </c>
      <c r="AC44" s="305"/>
      <c r="AD44" s="305" t="str">
        <f>IF(AND('Mapa final'!$L$16="Muy Baja",'Mapa final'!$P$16="Mayor"),CONCATENATE("R",'Mapa final'!$A$16),"")</f>
        <v/>
      </c>
      <c r="AE44" s="305"/>
      <c r="AF44" s="305" t="str">
        <f>IF(AND('Mapa final'!$L$18="Muy Baja",'Mapa final'!$P$18="Mayor"),CONCATENATE("R",'Mapa final'!$A$18),"")</f>
        <v/>
      </c>
      <c r="AG44" s="306"/>
      <c r="AH44" s="316" t="e">
        <f>IF(AND('Mapa final'!#REF!="Muy Baja",'Mapa final'!#REF!="Catastrófico"),CONCATENATE("R",'Mapa final'!#REF!),"")</f>
        <v>#REF!</v>
      </c>
      <c r="AI44" s="317"/>
      <c r="AJ44" s="317" t="str">
        <f>IF(AND('Mapa final'!$L$16="Muy Baja",'Mapa final'!$P$16="Catastrófico"),CONCATENATE("R",'Mapa final'!$A$16),"")</f>
        <v/>
      </c>
      <c r="AK44" s="317"/>
      <c r="AL44" s="317" t="str">
        <f>IF(AND('Mapa final'!$L$18="Muy Baja",'Mapa final'!$P$18="Catastrófico"),CONCATENATE("R",'Mapa final'!$A$18),"")</f>
        <v/>
      </c>
      <c r="AM44" s="318"/>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58"/>
      <c r="C45" s="258"/>
      <c r="D45" s="259"/>
      <c r="E45" s="302"/>
      <c r="F45" s="303"/>
      <c r="G45" s="303"/>
      <c r="H45" s="303"/>
      <c r="I45" s="304"/>
      <c r="J45" s="337"/>
      <c r="K45" s="338"/>
      <c r="L45" s="338"/>
      <c r="M45" s="338"/>
      <c r="N45" s="338"/>
      <c r="O45" s="339"/>
      <c r="P45" s="337"/>
      <c r="Q45" s="338"/>
      <c r="R45" s="338"/>
      <c r="S45" s="338"/>
      <c r="T45" s="338"/>
      <c r="U45" s="339"/>
      <c r="V45" s="328"/>
      <c r="W45" s="329"/>
      <c r="X45" s="329"/>
      <c r="Y45" s="329"/>
      <c r="Z45" s="329"/>
      <c r="AA45" s="330"/>
      <c r="AB45" s="313"/>
      <c r="AC45" s="314"/>
      <c r="AD45" s="314"/>
      <c r="AE45" s="314"/>
      <c r="AF45" s="314"/>
      <c r="AG45" s="315"/>
      <c r="AH45" s="319"/>
      <c r="AI45" s="320"/>
      <c r="AJ45" s="320"/>
      <c r="AK45" s="320"/>
      <c r="AL45" s="320"/>
      <c r="AM45" s="321"/>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96" t="s">
        <v>179</v>
      </c>
      <c r="K46" s="297"/>
      <c r="L46" s="297"/>
      <c r="M46" s="297"/>
      <c r="N46" s="297"/>
      <c r="O46" s="298"/>
      <c r="P46" s="296" t="s">
        <v>180</v>
      </c>
      <c r="Q46" s="297"/>
      <c r="R46" s="297"/>
      <c r="S46" s="297"/>
      <c r="T46" s="297"/>
      <c r="U46" s="298"/>
      <c r="V46" s="296" t="s">
        <v>181</v>
      </c>
      <c r="W46" s="297"/>
      <c r="X46" s="297"/>
      <c r="Y46" s="297"/>
      <c r="Z46" s="297"/>
      <c r="AA46" s="298"/>
      <c r="AB46" s="296" t="s">
        <v>182</v>
      </c>
      <c r="AC46" s="312"/>
      <c r="AD46" s="297"/>
      <c r="AE46" s="297"/>
      <c r="AF46" s="297"/>
      <c r="AG46" s="298"/>
      <c r="AH46" s="296" t="s">
        <v>183</v>
      </c>
      <c r="AI46" s="297"/>
      <c r="AJ46" s="297"/>
      <c r="AK46" s="297"/>
      <c r="AL46" s="297"/>
      <c r="AM46" s="298"/>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99"/>
      <c r="K47" s="300"/>
      <c r="L47" s="300"/>
      <c r="M47" s="300"/>
      <c r="N47" s="300"/>
      <c r="O47" s="301"/>
      <c r="P47" s="299"/>
      <c r="Q47" s="300"/>
      <c r="R47" s="300"/>
      <c r="S47" s="300"/>
      <c r="T47" s="300"/>
      <c r="U47" s="301"/>
      <c r="V47" s="299"/>
      <c r="W47" s="300"/>
      <c r="X47" s="300"/>
      <c r="Y47" s="300"/>
      <c r="Z47" s="300"/>
      <c r="AA47" s="301"/>
      <c r="AB47" s="299"/>
      <c r="AC47" s="300"/>
      <c r="AD47" s="300"/>
      <c r="AE47" s="300"/>
      <c r="AF47" s="300"/>
      <c r="AG47" s="301"/>
      <c r="AH47" s="299"/>
      <c r="AI47" s="300"/>
      <c r="AJ47" s="300"/>
      <c r="AK47" s="300"/>
      <c r="AL47" s="300"/>
      <c r="AM47" s="301"/>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99"/>
      <c r="K48" s="300"/>
      <c r="L48" s="300"/>
      <c r="M48" s="300"/>
      <c r="N48" s="300"/>
      <c r="O48" s="301"/>
      <c r="P48" s="299"/>
      <c r="Q48" s="300"/>
      <c r="R48" s="300"/>
      <c r="S48" s="300"/>
      <c r="T48" s="300"/>
      <c r="U48" s="301"/>
      <c r="V48" s="299"/>
      <c r="W48" s="300"/>
      <c r="X48" s="300"/>
      <c r="Y48" s="300"/>
      <c r="Z48" s="300"/>
      <c r="AA48" s="301"/>
      <c r="AB48" s="299"/>
      <c r="AC48" s="300"/>
      <c r="AD48" s="300"/>
      <c r="AE48" s="300"/>
      <c r="AF48" s="300"/>
      <c r="AG48" s="301"/>
      <c r="AH48" s="299"/>
      <c r="AI48" s="300"/>
      <c r="AJ48" s="300"/>
      <c r="AK48" s="300"/>
      <c r="AL48" s="300"/>
      <c r="AM48" s="301"/>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99"/>
      <c r="K49" s="300"/>
      <c r="L49" s="300"/>
      <c r="M49" s="300"/>
      <c r="N49" s="300"/>
      <c r="O49" s="301"/>
      <c r="P49" s="299"/>
      <c r="Q49" s="300"/>
      <c r="R49" s="300"/>
      <c r="S49" s="300"/>
      <c r="T49" s="300"/>
      <c r="U49" s="301"/>
      <c r="V49" s="299"/>
      <c r="W49" s="300"/>
      <c r="X49" s="300"/>
      <c r="Y49" s="300"/>
      <c r="Z49" s="300"/>
      <c r="AA49" s="301"/>
      <c r="AB49" s="299"/>
      <c r="AC49" s="300"/>
      <c r="AD49" s="300"/>
      <c r="AE49" s="300"/>
      <c r="AF49" s="300"/>
      <c r="AG49" s="301"/>
      <c r="AH49" s="299"/>
      <c r="AI49" s="300"/>
      <c r="AJ49" s="300"/>
      <c r="AK49" s="300"/>
      <c r="AL49" s="300"/>
      <c r="AM49" s="301"/>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99"/>
      <c r="K50" s="300"/>
      <c r="L50" s="300"/>
      <c r="M50" s="300"/>
      <c r="N50" s="300"/>
      <c r="O50" s="301"/>
      <c r="P50" s="299"/>
      <c r="Q50" s="300"/>
      <c r="R50" s="300"/>
      <c r="S50" s="300"/>
      <c r="T50" s="300"/>
      <c r="U50" s="301"/>
      <c r="V50" s="299"/>
      <c r="W50" s="300"/>
      <c r="X50" s="300"/>
      <c r="Y50" s="300"/>
      <c r="Z50" s="300"/>
      <c r="AA50" s="301"/>
      <c r="AB50" s="299"/>
      <c r="AC50" s="300"/>
      <c r="AD50" s="300"/>
      <c r="AE50" s="300"/>
      <c r="AF50" s="300"/>
      <c r="AG50" s="301"/>
      <c r="AH50" s="299"/>
      <c r="AI50" s="300"/>
      <c r="AJ50" s="300"/>
      <c r="AK50" s="300"/>
      <c r="AL50" s="300"/>
      <c r="AM50" s="301"/>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02"/>
      <c r="K51" s="303"/>
      <c r="L51" s="303"/>
      <c r="M51" s="303"/>
      <c r="N51" s="303"/>
      <c r="O51" s="304"/>
      <c r="P51" s="302"/>
      <c r="Q51" s="303"/>
      <c r="R51" s="303"/>
      <c r="S51" s="303"/>
      <c r="T51" s="303"/>
      <c r="U51" s="304"/>
      <c r="V51" s="302"/>
      <c r="W51" s="303"/>
      <c r="X51" s="303"/>
      <c r="Y51" s="303"/>
      <c r="Z51" s="303"/>
      <c r="AA51" s="304"/>
      <c r="AB51" s="302"/>
      <c r="AC51" s="303"/>
      <c r="AD51" s="303"/>
      <c r="AE51" s="303"/>
      <c r="AF51" s="303"/>
      <c r="AG51" s="304"/>
      <c r="AH51" s="302"/>
      <c r="AI51" s="303"/>
      <c r="AJ51" s="303"/>
      <c r="AK51" s="303"/>
      <c r="AL51" s="303"/>
      <c r="AM51" s="30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69" t="s">
        <v>184</v>
      </c>
      <c r="C2" s="370"/>
      <c r="D2" s="370"/>
      <c r="E2" s="370"/>
      <c r="F2" s="370"/>
      <c r="G2" s="370"/>
      <c r="H2" s="370"/>
      <c r="I2" s="370"/>
      <c r="J2" s="311" t="s">
        <v>15</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70"/>
      <c r="C3" s="370"/>
      <c r="D3" s="370"/>
      <c r="E3" s="370"/>
      <c r="F3" s="370"/>
      <c r="G3" s="370"/>
      <c r="H3" s="370"/>
      <c r="I3" s="370"/>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70"/>
      <c r="C4" s="370"/>
      <c r="D4" s="370"/>
      <c r="E4" s="370"/>
      <c r="F4" s="370"/>
      <c r="G4" s="370"/>
      <c r="H4" s="370"/>
      <c r="I4" s="370"/>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58" t="s">
        <v>169</v>
      </c>
      <c r="C6" s="258"/>
      <c r="D6" s="259"/>
      <c r="E6" s="353" t="s">
        <v>170</v>
      </c>
      <c r="F6" s="354"/>
      <c r="G6" s="354"/>
      <c r="H6" s="354"/>
      <c r="I6" s="371"/>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60" t="s">
        <v>171</v>
      </c>
      <c r="AP6" s="361"/>
      <c r="AQ6" s="361"/>
      <c r="AR6" s="361"/>
      <c r="AS6" s="361"/>
      <c r="AT6" s="362"/>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58"/>
      <c r="C7" s="258"/>
      <c r="D7" s="259"/>
      <c r="E7" s="357"/>
      <c r="F7" s="356"/>
      <c r="G7" s="356"/>
      <c r="H7" s="356"/>
      <c r="I7" s="372"/>
      <c r="J7" s="44" t="str">
        <f>IF(AND('Mapa final'!$AD$13="Muy Alta",'Mapa final'!$AF$13="Leve"),CONCATENATE("R2C",'Mapa final'!$S$13),"")</f>
        <v/>
      </c>
      <c r="K7" s="45" t="e">
        <f>IF(AND('Mapa final'!#REF!="Muy Alta",'Mapa final'!#REF!="Leve"),CONCATENATE("R2C",'Mapa final'!#REF!),"")</f>
        <v>#REF!</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final'!$AD$13="Muy Alta",'Mapa final'!$AF$13="Menor"),CONCATENATE("R2C",'Mapa final'!$S$13),"")</f>
        <v/>
      </c>
      <c r="Q7" s="45" t="e">
        <f>IF(AND('Mapa final'!#REF!="Muy Alta",'Mapa final'!#REF!="Menor"),CONCATENATE("R2C",'Mapa final'!#REF!),"")</f>
        <v>#REF!</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final'!$AD$13="Muy Alta",'Mapa final'!$AF$13="Moderado"),CONCATENATE("R2C",'Mapa final'!$S$13),"")</f>
        <v/>
      </c>
      <c r="W7" s="45" t="e">
        <f>IF(AND('Mapa final'!#REF!="Muy Alta",'Mapa final'!#REF!="Moderado"),CONCATENATE("R2C",'Mapa final'!#REF!),"")</f>
        <v>#REF!</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final'!$AD$13="Muy Alta",'Mapa final'!$AF$13="Mayor"),CONCATENATE("R2C",'Mapa final'!$S$13),"")</f>
        <v/>
      </c>
      <c r="AC7" s="45" t="e">
        <f>IF(AND('Mapa final'!#REF!="Muy Alta",'Mapa final'!#REF!="Mayor"),CONCATENATE("R2C",'Mapa final'!#REF!),"")</f>
        <v>#REF!</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final'!$AD$13="Muy Alta",'Mapa final'!$AF$13="Catastrófico"),CONCATENATE("R2C",'Mapa final'!$S$13),"")</f>
        <v/>
      </c>
      <c r="AI7" s="48" t="e">
        <f>IF(AND('Mapa final'!#REF!="Muy Alta",'Mapa final'!#REF!="Catastrófico"),CONCATENATE("R2C",'Mapa final'!#REF!),"")</f>
        <v>#REF!</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63"/>
      <c r="AP7" s="364"/>
      <c r="AQ7" s="364"/>
      <c r="AR7" s="364"/>
      <c r="AS7" s="364"/>
      <c r="AT7" s="36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58"/>
      <c r="C8" s="258"/>
      <c r="D8" s="259"/>
      <c r="E8" s="357"/>
      <c r="F8" s="356"/>
      <c r="G8" s="356"/>
      <c r="H8" s="356"/>
      <c r="I8" s="372"/>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63"/>
      <c r="AP8" s="364"/>
      <c r="AQ8" s="364"/>
      <c r="AR8" s="364"/>
      <c r="AS8" s="364"/>
      <c r="AT8" s="36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58"/>
      <c r="C9" s="258"/>
      <c r="D9" s="259"/>
      <c r="E9" s="357"/>
      <c r="F9" s="356"/>
      <c r="G9" s="356"/>
      <c r="H9" s="356"/>
      <c r="I9" s="372"/>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63"/>
      <c r="AP9" s="364"/>
      <c r="AQ9" s="364"/>
      <c r="AR9" s="364"/>
      <c r="AS9" s="364"/>
      <c r="AT9" s="36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58"/>
      <c r="C10" s="258"/>
      <c r="D10" s="259"/>
      <c r="E10" s="357"/>
      <c r="F10" s="356"/>
      <c r="G10" s="356"/>
      <c r="H10" s="356"/>
      <c r="I10" s="372"/>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63"/>
      <c r="AP10" s="364"/>
      <c r="AQ10" s="364"/>
      <c r="AR10" s="364"/>
      <c r="AS10" s="364"/>
      <c r="AT10" s="36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58"/>
      <c r="C11" s="258"/>
      <c r="D11" s="259"/>
      <c r="E11" s="357"/>
      <c r="F11" s="356"/>
      <c r="G11" s="356"/>
      <c r="H11" s="356"/>
      <c r="I11" s="372"/>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63"/>
      <c r="AP11" s="364"/>
      <c r="AQ11" s="364"/>
      <c r="AR11" s="364"/>
      <c r="AS11" s="364"/>
      <c r="AT11" s="36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58"/>
      <c r="C12" s="258"/>
      <c r="D12" s="259"/>
      <c r="E12" s="357"/>
      <c r="F12" s="356"/>
      <c r="G12" s="356"/>
      <c r="H12" s="356"/>
      <c r="I12" s="372"/>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63"/>
      <c r="AP12" s="364"/>
      <c r="AQ12" s="364"/>
      <c r="AR12" s="364"/>
      <c r="AS12" s="364"/>
      <c r="AT12" s="36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58"/>
      <c r="C13" s="258"/>
      <c r="D13" s="259"/>
      <c r="E13" s="357"/>
      <c r="F13" s="356"/>
      <c r="G13" s="356"/>
      <c r="H13" s="356"/>
      <c r="I13" s="372"/>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63"/>
      <c r="AP13" s="364"/>
      <c r="AQ13" s="364"/>
      <c r="AR13" s="364"/>
      <c r="AS13" s="364"/>
      <c r="AT13" s="36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58"/>
      <c r="C14" s="258"/>
      <c r="D14" s="259"/>
      <c r="E14" s="357"/>
      <c r="F14" s="356"/>
      <c r="G14" s="356"/>
      <c r="H14" s="356"/>
      <c r="I14" s="372"/>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63"/>
      <c r="AP14" s="364"/>
      <c r="AQ14" s="364"/>
      <c r="AR14" s="364"/>
      <c r="AS14" s="364"/>
      <c r="AT14" s="36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58"/>
      <c r="C15" s="258"/>
      <c r="D15" s="259"/>
      <c r="E15" s="358"/>
      <c r="F15" s="359"/>
      <c r="G15" s="359"/>
      <c r="H15" s="359"/>
      <c r="I15" s="373"/>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66"/>
      <c r="AP15" s="367"/>
      <c r="AQ15" s="367"/>
      <c r="AR15" s="367"/>
      <c r="AS15" s="367"/>
      <c r="AT15" s="368"/>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58"/>
      <c r="C16" s="258"/>
      <c r="D16" s="259"/>
      <c r="E16" s="353" t="s">
        <v>172</v>
      </c>
      <c r="F16" s="354"/>
      <c r="G16" s="354"/>
      <c r="H16" s="354"/>
      <c r="I16" s="354"/>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44" t="s">
        <v>173</v>
      </c>
      <c r="AP16" s="345"/>
      <c r="AQ16" s="345"/>
      <c r="AR16" s="345"/>
      <c r="AS16" s="345"/>
      <c r="AT16" s="34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58"/>
      <c r="C17" s="258"/>
      <c r="D17" s="259"/>
      <c r="E17" s="355"/>
      <c r="F17" s="356"/>
      <c r="G17" s="356"/>
      <c r="H17" s="356"/>
      <c r="I17" s="356"/>
      <c r="J17" s="59" t="str">
        <f>IF(AND('Mapa final'!$AD$13="Alta",'Mapa final'!$AF$13="Leve"),CONCATENATE("R2C",'Mapa final'!$S$13),"")</f>
        <v/>
      </c>
      <c r="K17" s="60" t="e">
        <f>IF(AND('Mapa final'!#REF!="Alta",'Mapa final'!#REF!="Leve"),CONCATENATE("R2C",'Mapa final'!#REF!),"")</f>
        <v>#REF!</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final'!$AD$13="Alta",'Mapa final'!$AF$13="Menor"),CONCATENATE("R2C",'Mapa final'!$S$13),"")</f>
        <v/>
      </c>
      <c r="Q17" s="60" t="e">
        <f>IF(AND('Mapa final'!#REF!="Alta",'Mapa final'!#REF!="Menor"),CONCATENATE("R2C",'Mapa final'!#REF!),"")</f>
        <v>#REF!</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final'!$AD$13="Alta",'Mapa final'!$AF$13="Moderado"),CONCATENATE("R2C",'Mapa final'!$S$13),"")</f>
        <v/>
      </c>
      <c r="W17" s="45" t="e">
        <f>IF(AND('Mapa final'!#REF!="Alta",'Mapa final'!#REF!="Moderado"),CONCATENATE("R2C",'Mapa final'!#REF!),"")</f>
        <v>#REF!</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final'!$AD$13="Alta",'Mapa final'!$AF$13="Mayor"),CONCATENATE("R2C",'Mapa final'!$S$13),"")</f>
        <v/>
      </c>
      <c r="AC17" s="45" t="e">
        <f>IF(AND('Mapa final'!#REF!="Alta",'Mapa final'!#REF!="Mayor"),CONCATENATE("R2C",'Mapa final'!#REF!),"")</f>
        <v>#REF!</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final'!$AD$13="Alta",'Mapa final'!$AF$13="Catastrófico"),CONCATENATE("R2C",'Mapa final'!$S$13),"")</f>
        <v/>
      </c>
      <c r="AI17" s="48" t="e">
        <f>IF(AND('Mapa final'!#REF!="Alta",'Mapa final'!#REF!="Catastrófico"),CONCATENATE("R2C",'Mapa final'!#REF!),"")</f>
        <v>#REF!</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47"/>
      <c r="AP17" s="348"/>
      <c r="AQ17" s="348"/>
      <c r="AR17" s="348"/>
      <c r="AS17" s="348"/>
      <c r="AT17" s="34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58"/>
      <c r="C18" s="258"/>
      <c r="D18" s="259"/>
      <c r="E18" s="357"/>
      <c r="F18" s="356"/>
      <c r="G18" s="356"/>
      <c r="H18" s="356"/>
      <c r="I18" s="356"/>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47"/>
      <c r="AP18" s="348"/>
      <c r="AQ18" s="348"/>
      <c r="AR18" s="348"/>
      <c r="AS18" s="348"/>
      <c r="AT18" s="34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58"/>
      <c r="C19" s="258"/>
      <c r="D19" s="259"/>
      <c r="E19" s="357"/>
      <c r="F19" s="356"/>
      <c r="G19" s="356"/>
      <c r="H19" s="356"/>
      <c r="I19" s="356"/>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47"/>
      <c r="AP19" s="348"/>
      <c r="AQ19" s="348"/>
      <c r="AR19" s="348"/>
      <c r="AS19" s="348"/>
      <c r="AT19" s="34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58"/>
      <c r="C20" s="258"/>
      <c r="D20" s="259"/>
      <c r="E20" s="357"/>
      <c r="F20" s="356"/>
      <c r="G20" s="356"/>
      <c r="H20" s="356"/>
      <c r="I20" s="356"/>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47"/>
      <c r="AP20" s="348"/>
      <c r="AQ20" s="348"/>
      <c r="AR20" s="348"/>
      <c r="AS20" s="348"/>
      <c r="AT20" s="34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58"/>
      <c r="C21" s="258"/>
      <c r="D21" s="259"/>
      <c r="E21" s="357"/>
      <c r="F21" s="356"/>
      <c r="G21" s="356"/>
      <c r="H21" s="356"/>
      <c r="I21" s="356"/>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47"/>
      <c r="AP21" s="348"/>
      <c r="AQ21" s="348"/>
      <c r="AR21" s="348"/>
      <c r="AS21" s="348"/>
      <c r="AT21" s="34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58"/>
      <c r="C22" s="258"/>
      <c r="D22" s="259"/>
      <c r="E22" s="357"/>
      <c r="F22" s="356"/>
      <c r="G22" s="356"/>
      <c r="H22" s="356"/>
      <c r="I22" s="356"/>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47"/>
      <c r="AP22" s="348"/>
      <c r="AQ22" s="348"/>
      <c r="AR22" s="348"/>
      <c r="AS22" s="348"/>
      <c r="AT22" s="34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58"/>
      <c r="C23" s="258"/>
      <c r="D23" s="259"/>
      <c r="E23" s="357"/>
      <c r="F23" s="356"/>
      <c r="G23" s="356"/>
      <c r="H23" s="356"/>
      <c r="I23" s="356"/>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47"/>
      <c r="AP23" s="348"/>
      <c r="AQ23" s="348"/>
      <c r="AR23" s="348"/>
      <c r="AS23" s="348"/>
      <c r="AT23" s="34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58"/>
      <c r="C24" s="258"/>
      <c r="D24" s="259"/>
      <c r="E24" s="357"/>
      <c r="F24" s="356"/>
      <c r="G24" s="356"/>
      <c r="H24" s="356"/>
      <c r="I24" s="356"/>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47"/>
      <c r="AP24" s="348"/>
      <c r="AQ24" s="348"/>
      <c r="AR24" s="348"/>
      <c r="AS24" s="348"/>
      <c r="AT24" s="34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58"/>
      <c r="C25" s="258"/>
      <c r="D25" s="259"/>
      <c r="E25" s="358"/>
      <c r="F25" s="359"/>
      <c r="G25" s="359"/>
      <c r="H25" s="359"/>
      <c r="I25" s="359"/>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50"/>
      <c r="AP25" s="351"/>
      <c r="AQ25" s="351"/>
      <c r="AR25" s="351"/>
      <c r="AS25" s="351"/>
      <c r="AT25" s="35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58"/>
      <c r="C26" s="258"/>
      <c r="D26" s="259"/>
      <c r="E26" s="353" t="s">
        <v>174</v>
      </c>
      <c r="F26" s="354"/>
      <c r="G26" s="354"/>
      <c r="H26" s="354"/>
      <c r="I26" s="371"/>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83" t="s">
        <v>175</v>
      </c>
      <c r="AP26" s="384"/>
      <c r="AQ26" s="384"/>
      <c r="AR26" s="384"/>
      <c r="AS26" s="384"/>
      <c r="AT26" s="38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58"/>
      <c r="C27" s="258"/>
      <c r="D27" s="259"/>
      <c r="E27" s="355"/>
      <c r="F27" s="356"/>
      <c r="G27" s="356"/>
      <c r="H27" s="356"/>
      <c r="I27" s="372"/>
      <c r="J27" s="59" t="str">
        <f>IF(AND('Mapa final'!$AD$13="Media",'Mapa final'!$AF$13="Leve"),CONCATENATE("R2C",'Mapa final'!$S$13),"")</f>
        <v/>
      </c>
      <c r="K27" s="60" t="e">
        <f>IF(AND('Mapa final'!#REF!="Media",'Mapa final'!#REF!="Leve"),CONCATENATE("R2C",'Mapa final'!#REF!),"")</f>
        <v>#REF!</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final'!$AD$13="Media",'Mapa final'!$AF$13="Menor"),CONCATENATE("R2C",'Mapa final'!$S$13),"")</f>
        <v/>
      </c>
      <c r="Q27" s="60" t="e">
        <f>IF(AND('Mapa final'!#REF!="Media",'Mapa final'!#REF!="Menor"),CONCATENATE("R2C",'Mapa final'!#REF!),"")</f>
        <v>#REF!</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final'!$AD$13="Media",'Mapa final'!$AF$13="Moderado"),CONCATENATE("R2C",'Mapa final'!$S$13),"")</f>
        <v/>
      </c>
      <c r="W27" s="60" t="e">
        <f>IF(AND('Mapa final'!#REF!="Media",'Mapa final'!#REF!="Moderado"),CONCATENATE("R2C",'Mapa final'!#REF!),"")</f>
        <v>#REF!</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final'!$AD$13="Media",'Mapa final'!$AF$13="Mayor"),CONCATENATE("R2C",'Mapa final'!$S$13),"")</f>
        <v/>
      </c>
      <c r="AC27" s="45" t="e">
        <f>IF(AND('Mapa final'!#REF!="Media",'Mapa final'!#REF!="Mayor"),CONCATENATE("R2C",'Mapa final'!#REF!),"")</f>
        <v>#REF!</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final'!$AD$13="Media",'Mapa final'!$AF$13="Catastrófico"),CONCATENATE("R2C",'Mapa final'!$S$13),"")</f>
        <v/>
      </c>
      <c r="AI27" s="48" t="e">
        <f>IF(AND('Mapa final'!#REF!="Media",'Mapa final'!#REF!="Catastrófico"),CONCATENATE("R2C",'Mapa final'!#REF!),"")</f>
        <v>#REF!</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86"/>
      <c r="AP27" s="387"/>
      <c r="AQ27" s="387"/>
      <c r="AR27" s="387"/>
      <c r="AS27" s="387"/>
      <c r="AT27" s="388"/>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58"/>
      <c r="C28" s="258"/>
      <c r="D28" s="259"/>
      <c r="E28" s="357"/>
      <c r="F28" s="356"/>
      <c r="G28" s="356"/>
      <c r="H28" s="356"/>
      <c r="I28" s="372"/>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86"/>
      <c r="AP28" s="387"/>
      <c r="AQ28" s="387"/>
      <c r="AR28" s="387"/>
      <c r="AS28" s="387"/>
      <c r="AT28" s="388"/>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58"/>
      <c r="C29" s="258"/>
      <c r="D29" s="259"/>
      <c r="E29" s="357"/>
      <c r="F29" s="356"/>
      <c r="G29" s="356"/>
      <c r="H29" s="356"/>
      <c r="I29" s="372"/>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86"/>
      <c r="AP29" s="387"/>
      <c r="AQ29" s="387"/>
      <c r="AR29" s="387"/>
      <c r="AS29" s="387"/>
      <c r="AT29" s="388"/>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58"/>
      <c r="C30" s="258"/>
      <c r="D30" s="259"/>
      <c r="E30" s="357"/>
      <c r="F30" s="356"/>
      <c r="G30" s="356"/>
      <c r="H30" s="356"/>
      <c r="I30" s="372"/>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86"/>
      <c r="AP30" s="387"/>
      <c r="AQ30" s="387"/>
      <c r="AR30" s="387"/>
      <c r="AS30" s="387"/>
      <c r="AT30" s="388"/>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58"/>
      <c r="C31" s="258"/>
      <c r="D31" s="259"/>
      <c r="E31" s="357"/>
      <c r="F31" s="356"/>
      <c r="G31" s="356"/>
      <c r="H31" s="356"/>
      <c r="I31" s="372"/>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86"/>
      <c r="AP31" s="387"/>
      <c r="AQ31" s="387"/>
      <c r="AR31" s="387"/>
      <c r="AS31" s="387"/>
      <c r="AT31" s="388"/>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58"/>
      <c r="C32" s="258"/>
      <c r="D32" s="259"/>
      <c r="E32" s="357"/>
      <c r="F32" s="356"/>
      <c r="G32" s="356"/>
      <c r="H32" s="356"/>
      <c r="I32" s="372"/>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86"/>
      <c r="AP32" s="387"/>
      <c r="AQ32" s="387"/>
      <c r="AR32" s="387"/>
      <c r="AS32" s="387"/>
      <c r="AT32" s="388"/>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58"/>
      <c r="C33" s="258"/>
      <c r="D33" s="259"/>
      <c r="E33" s="357"/>
      <c r="F33" s="356"/>
      <c r="G33" s="356"/>
      <c r="H33" s="356"/>
      <c r="I33" s="372"/>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86"/>
      <c r="AP33" s="387"/>
      <c r="AQ33" s="387"/>
      <c r="AR33" s="387"/>
      <c r="AS33" s="387"/>
      <c r="AT33" s="388"/>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58"/>
      <c r="C34" s="258"/>
      <c r="D34" s="259"/>
      <c r="E34" s="357"/>
      <c r="F34" s="356"/>
      <c r="G34" s="356"/>
      <c r="H34" s="356"/>
      <c r="I34" s="372"/>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86"/>
      <c r="AP34" s="387"/>
      <c r="AQ34" s="387"/>
      <c r="AR34" s="387"/>
      <c r="AS34" s="387"/>
      <c r="AT34" s="388"/>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58"/>
      <c r="C35" s="258"/>
      <c r="D35" s="259"/>
      <c r="E35" s="358"/>
      <c r="F35" s="359"/>
      <c r="G35" s="359"/>
      <c r="H35" s="359"/>
      <c r="I35" s="373"/>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89"/>
      <c r="AP35" s="390"/>
      <c r="AQ35" s="390"/>
      <c r="AR35" s="390"/>
      <c r="AS35" s="390"/>
      <c r="AT35" s="391"/>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58"/>
      <c r="C36" s="258"/>
      <c r="D36" s="259"/>
      <c r="E36" s="353" t="s">
        <v>176</v>
      </c>
      <c r="F36" s="354"/>
      <c r="G36" s="354"/>
      <c r="H36" s="354"/>
      <c r="I36" s="354"/>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74" t="s">
        <v>177</v>
      </c>
      <c r="AP36" s="375"/>
      <c r="AQ36" s="375"/>
      <c r="AR36" s="375"/>
      <c r="AS36" s="375"/>
      <c r="AT36" s="376"/>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58"/>
      <c r="C37" s="258"/>
      <c r="D37" s="259"/>
      <c r="E37" s="355"/>
      <c r="F37" s="356"/>
      <c r="G37" s="356"/>
      <c r="H37" s="356"/>
      <c r="I37" s="356"/>
      <c r="J37" s="68" t="str">
        <f>IF(AND('Mapa final'!$AD$13="Baja",'Mapa final'!$AF$13="Leve"),CONCATENATE("R2C",'Mapa final'!$S$13),"")</f>
        <v>R2C1</v>
      </c>
      <c r="K37" s="69" t="e">
        <f>IF(AND('Mapa final'!#REF!="Baja",'Mapa final'!#REF!="Leve"),CONCATENATE("R2C",'Mapa final'!#REF!),"")</f>
        <v>#REF!</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final'!$AD$13="Baja",'Mapa final'!$AF$13="Menor"),CONCATENATE("R2C",'Mapa final'!$S$13),"")</f>
        <v/>
      </c>
      <c r="Q37" s="60" t="e">
        <f>IF(AND('Mapa final'!#REF!="Baja",'Mapa final'!#REF!="Menor"),CONCATENATE("R2C",'Mapa final'!#REF!),"")</f>
        <v>#REF!</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final'!$AD$13="Baja",'Mapa final'!$AF$13="Moderado"),CONCATENATE("R2C",'Mapa final'!$S$13),"")</f>
        <v/>
      </c>
      <c r="W37" s="60" t="e">
        <f>IF(AND('Mapa final'!#REF!="Baja",'Mapa final'!#REF!="Moderado"),CONCATENATE("R2C",'Mapa final'!#REF!),"")</f>
        <v>#REF!</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final'!$AD$13="Baja",'Mapa final'!$AF$13="Mayor"),CONCATENATE("R2C",'Mapa final'!$S$13),"")</f>
        <v/>
      </c>
      <c r="AC37" s="45" t="e">
        <f>IF(AND('Mapa final'!#REF!="Baja",'Mapa final'!#REF!="Mayor"),CONCATENATE("R2C",'Mapa final'!#REF!),"")</f>
        <v>#REF!</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final'!$AD$13="Baja",'Mapa final'!$AF$13="Catastrófico"),CONCATENATE("R2C",'Mapa final'!$S$13),"")</f>
        <v/>
      </c>
      <c r="AI37" s="48" t="e">
        <f>IF(AND('Mapa final'!#REF!="Baja",'Mapa final'!#REF!="Catastrófico"),CONCATENATE("R2C",'Mapa final'!#REF!),"")</f>
        <v>#REF!</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77"/>
      <c r="AP37" s="378"/>
      <c r="AQ37" s="378"/>
      <c r="AR37" s="378"/>
      <c r="AS37" s="378"/>
      <c r="AT37" s="379"/>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58"/>
      <c r="C38" s="258"/>
      <c r="D38" s="259"/>
      <c r="E38" s="357"/>
      <c r="F38" s="356"/>
      <c r="G38" s="356"/>
      <c r="H38" s="356"/>
      <c r="I38" s="356"/>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77"/>
      <c r="AP38" s="378"/>
      <c r="AQ38" s="378"/>
      <c r="AR38" s="378"/>
      <c r="AS38" s="378"/>
      <c r="AT38" s="379"/>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58"/>
      <c r="C39" s="258"/>
      <c r="D39" s="259"/>
      <c r="E39" s="357"/>
      <c r="F39" s="356"/>
      <c r="G39" s="356"/>
      <c r="H39" s="356"/>
      <c r="I39" s="356"/>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77"/>
      <c r="AP39" s="378"/>
      <c r="AQ39" s="378"/>
      <c r="AR39" s="378"/>
      <c r="AS39" s="378"/>
      <c r="AT39" s="379"/>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58"/>
      <c r="C40" s="258"/>
      <c r="D40" s="259"/>
      <c r="E40" s="357"/>
      <c r="F40" s="356"/>
      <c r="G40" s="356"/>
      <c r="H40" s="356"/>
      <c r="I40" s="356"/>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77"/>
      <c r="AP40" s="378"/>
      <c r="AQ40" s="378"/>
      <c r="AR40" s="378"/>
      <c r="AS40" s="378"/>
      <c r="AT40" s="379"/>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58"/>
      <c r="C41" s="258"/>
      <c r="D41" s="259"/>
      <c r="E41" s="357"/>
      <c r="F41" s="356"/>
      <c r="G41" s="356"/>
      <c r="H41" s="356"/>
      <c r="I41" s="356"/>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77"/>
      <c r="AP41" s="378"/>
      <c r="AQ41" s="378"/>
      <c r="AR41" s="378"/>
      <c r="AS41" s="378"/>
      <c r="AT41" s="379"/>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58"/>
      <c r="C42" s="258"/>
      <c r="D42" s="259"/>
      <c r="E42" s="357"/>
      <c r="F42" s="356"/>
      <c r="G42" s="356"/>
      <c r="H42" s="356"/>
      <c r="I42" s="356"/>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77"/>
      <c r="AP42" s="378"/>
      <c r="AQ42" s="378"/>
      <c r="AR42" s="378"/>
      <c r="AS42" s="378"/>
      <c r="AT42" s="379"/>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58"/>
      <c r="C43" s="258"/>
      <c r="D43" s="259"/>
      <c r="E43" s="357"/>
      <c r="F43" s="356"/>
      <c r="G43" s="356"/>
      <c r="H43" s="356"/>
      <c r="I43" s="356"/>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77"/>
      <c r="AP43" s="378"/>
      <c r="AQ43" s="378"/>
      <c r="AR43" s="378"/>
      <c r="AS43" s="378"/>
      <c r="AT43" s="379"/>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58"/>
      <c r="C44" s="258"/>
      <c r="D44" s="259"/>
      <c r="E44" s="357"/>
      <c r="F44" s="356"/>
      <c r="G44" s="356"/>
      <c r="H44" s="356"/>
      <c r="I44" s="356"/>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77"/>
      <c r="AP44" s="378"/>
      <c r="AQ44" s="378"/>
      <c r="AR44" s="378"/>
      <c r="AS44" s="378"/>
      <c r="AT44" s="379"/>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58"/>
      <c r="C45" s="258"/>
      <c r="D45" s="259"/>
      <c r="E45" s="358"/>
      <c r="F45" s="359"/>
      <c r="G45" s="359"/>
      <c r="H45" s="359"/>
      <c r="I45" s="359"/>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80"/>
      <c r="AP45" s="381"/>
      <c r="AQ45" s="381"/>
      <c r="AR45" s="381"/>
      <c r="AS45" s="381"/>
      <c r="AT45" s="382"/>
    </row>
    <row r="46" spans="1:80" ht="46.5" customHeight="1" x14ac:dyDescent="0.35">
      <c r="A46" s="75"/>
      <c r="B46" s="258"/>
      <c r="C46" s="258"/>
      <c r="D46" s="259"/>
      <c r="E46" s="353" t="s">
        <v>178</v>
      </c>
      <c r="F46" s="354"/>
      <c r="G46" s="354"/>
      <c r="H46" s="354"/>
      <c r="I46" s="371"/>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58"/>
      <c r="C47" s="258"/>
      <c r="D47" s="259"/>
      <c r="E47" s="355"/>
      <c r="F47" s="356"/>
      <c r="G47" s="356"/>
      <c r="H47" s="356"/>
      <c r="I47" s="372"/>
      <c r="J47" s="68" t="str">
        <f>IF(AND('Mapa final'!$AD$13="Muy Baja",'Mapa final'!$AF$13="Leve"),CONCATENATE("R2C",'Mapa final'!$S$13),"")</f>
        <v/>
      </c>
      <c r="K47" s="69" t="e">
        <f>IF(AND('Mapa final'!#REF!="Muy Baja",'Mapa final'!#REF!="Leve"),CONCATENATE("R2C",'Mapa final'!#REF!),"")</f>
        <v>#REF!</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final'!$AD$13="Muy Baja",'Mapa final'!$AF$13="Menor"),CONCATENATE("R2C",'Mapa final'!$S$13),"")</f>
        <v/>
      </c>
      <c r="Q47" s="69" t="e">
        <f>IF(AND('Mapa final'!#REF!="Muy Baja",'Mapa final'!#REF!="Menor"),CONCATENATE("R2C",'Mapa final'!#REF!),"")</f>
        <v>#REF!</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final'!$AD$13="Muy Baja",'Mapa final'!$AF$13="Moderado"),CONCATENATE("R2C",'Mapa final'!$S$13),"")</f>
        <v/>
      </c>
      <c r="W47" s="60" t="e">
        <f>IF(AND('Mapa final'!#REF!="Muy Baja",'Mapa final'!#REF!="Moderado"),CONCATENATE("R2C",'Mapa final'!#REF!),"")</f>
        <v>#REF!</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final'!$AD$13="Muy Baja",'Mapa final'!$AF$13="Mayor"),CONCATENATE("R2C",'Mapa final'!$S$13),"")</f>
        <v/>
      </c>
      <c r="AC47" s="45" t="e">
        <f>IF(AND('Mapa final'!#REF!="Muy Baja",'Mapa final'!#REF!="Mayor"),CONCATENATE("R2C",'Mapa final'!#REF!),"")</f>
        <v>#REF!</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final'!$AD$13="Muy Baja",'Mapa final'!$AF$13="Catastrófico"),CONCATENATE("R2C",'Mapa final'!$S$13),"")</f>
        <v/>
      </c>
      <c r="AI47" s="48" t="e">
        <f>IF(AND('Mapa final'!#REF!="Muy Baja",'Mapa final'!#REF!="Catastrófico"),CONCATENATE("R2C",'Mapa final'!#REF!),"")</f>
        <v>#REF!</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58"/>
      <c r="C48" s="258"/>
      <c r="D48" s="259"/>
      <c r="E48" s="355"/>
      <c r="F48" s="356"/>
      <c r="G48" s="356"/>
      <c r="H48" s="356"/>
      <c r="I48" s="372"/>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58"/>
      <c r="C49" s="258"/>
      <c r="D49" s="259"/>
      <c r="E49" s="357"/>
      <c r="F49" s="356"/>
      <c r="G49" s="356"/>
      <c r="H49" s="356"/>
      <c r="I49" s="372"/>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58"/>
      <c r="C50" s="258"/>
      <c r="D50" s="259"/>
      <c r="E50" s="357"/>
      <c r="F50" s="356"/>
      <c r="G50" s="356"/>
      <c r="H50" s="356"/>
      <c r="I50" s="372"/>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58"/>
      <c r="C51" s="258"/>
      <c r="D51" s="259"/>
      <c r="E51" s="357"/>
      <c r="F51" s="356"/>
      <c r="G51" s="356"/>
      <c r="H51" s="356"/>
      <c r="I51" s="372"/>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58"/>
      <c r="C52" s="258"/>
      <c r="D52" s="259"/>
      <c r="E52" s="357"/>
      <c r="F52" s="356"/>
      <c r="G52" s="356"/>
      <c r="H52" s="356"/>
      <c r="I52" s="372"/>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58"/>
      <c r="C53" s="258"/>
      <c r="D53" s="259"/>
      <c r="E53" s="357"/>
      <c r="F53" s="356"/>
      <c r="G53" s="356"/>
      <c r="H53" s="356"/>
      <c r="I53" s="372"/>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58"/>
      <c r="C54" s="258"/>
      <c r="D54" s="259"/>
      <c r="E54" s="357"/>
      <c r="F54" s="356"/>
      <c r="G54" s="356"/>
      <c r="H54" s="356"/>
      <c r="I54" s="372"/>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58"/>
      <c r="C55" s="258"/>
      <c r="D55" s="259"/>
      <c r="E55" s="358"/>
      <c r="F55" s="359"/>
      <c r="G55" s="359"/>
      <c r="H55" s="359"/>
      <c r="I55" s="373"/>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53" t="s">
        <v>179</v>
      </c>
      <c r="K56" s="354"/>
      <c r="L56" s="354"/>
      <c r="M56" s="354"/>
      <c r="N56" s="354"/>
      <c r="O56" s="371"/>
      <c r="P56" s="353" t="s">
        <v>180</v>
      </c>
      <c r="Q56" s="354"/>
      <c r="R56" s="354"/>
      <c r="S56" s="354"/>
      <c r="T56" s="354"/>
      <c r="U56" s="371"/>
      <c r="V56" s="353" t="s">
        <v>181</v>
      </c>
      <c r="W56" s="354"/>
      <c r="X56" s="354"/>
      <c r="Y56" s="354"/>
      <c r="Z56" s="354"/>
      <c r="AA56" s="371"/>
      <c r="AB56" s="353" t="s">
        <v>182</v>
      </c>
      <c r="AC56" s="392"/>
      <c r="AD56" s="354"/>
      <c r="AE56" s="354"/>
      <c r="AF56" s="354"/>
      <c r="AG56" s="371"/>
      <c r="AH56" s="353" t="s">
        <v>183</v>
      </c>
      <c r="AI56" s="354"/>
      <c r="AJ56" s="354"/>
      <c r="AK56" s="354"/>
      <c r="AL56" s="354"/>
      <c r="AM56" s="371"/>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57"/>
      <c r="K57" s="356"/>
      <c r="L57" s="356"/>
      <c r="M57" s="356"/>
      <c r="N57" s="356"/>
      <c r="O57" s="372"/>
      <c r="P57" s="357"/>
      <c r="Q57" s="356"/>
      <c r="R57" s="356"/>
      <c r="S57" s="356"/>
      <c r="T57" s="356"/>
      <c r="U57" s="372"/>
      <c r="V57" s="357"/>
      <c r="W57" s="356"/>
      <c r="X57" s="356"/>
      <c r="Y57" s="356"/>
      <c r="Z57" s="356"/>
      <c r="AA57" s="372"/>
      <c r="AB57" s="357"/>
      <c r="AC57" s="356"/>
      <c r="AD57" s="356"/>
      <c r="AE57" s="356"/>
      <c r="AF57" s="356"/>
      <c r="AG57" s="372"/>
      <c r="AH57" s="357"/>
      <c r="AI57" s="356"/>
      <c r="AJ57" s="356"/>
      <c r="AK57" s="356"/>
      <c r="AL57" s="356"/>
      <c r="AM57" s="372"/>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57"/>
      <c r="K58" s="356"/>
      <c r="L58" s="356"/>
      <c r="M58" s="356"/>
      <c r="N58" s="356"/>
      <c r="O58" s="372"/>
      <c r="P58" s="357"/>
      <c r="Q58" s="356"/>
      <c r="R58" s="356"/>
      <c r="S58" s="356"/>
      <c r="T58" s="356"/>
      <c r="U58" s="372"/>
      <c r="V58" s="357"/>
      <c r="W58" s="356"/>
      <c r="X58" s="356"/>
      <c r="Y58" s="356"/>
      <c r="Z58" s="356"/>
      <c r="AA58" s="372"/>
      <c r="AB58" s="357"/>
      <c r="AC58" s="356"/>
      <c r="AD58" s="356"/>
      <c r="AE58" s="356"/>
      <c r="AF58" s="356"/>
      <c r="AG58" s="372"/>
      <c r="AH58" s="357"/>
      <c r="AI58" s="356"/>
      <c r="AJ58" s="356"/>
      <c r="AK58" s="356"/>
      <c r="AL58" s="356"/>
      <c r="AM58" s="372"/>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57"/>
      <c r="K59" s="356"/>
      <c r="L59" s="356"/>
      <c r="M59" s="356"/>
      <c r="N59" s="356"/>
      <c r="O59" s="372"/>
      <c r="P59" s="357"/>
      <c r="Q59" s="356"/>
      <c r="R59" s="356"/>
      <c r="S59" s="356"/>
      <c r="T59" s="356"/>
      <c r="U59" s="372"/>
      <c r="V59" s="357"/>
      <c r="W59" s="356"/>
      <c r="X59" s="356"/>
      <c r="Y59" s="356"/>
      <c r="Z59" s="356"/>
      <c r="AA59" s="372"/>
      <c r="AB59" s="357"/>
      <c r="AC59" s="356"/>
      <c r="AD59" s="356"/>
      <c r="AE59" s="356"/>
      <c r="AF59" s="356"/>
      <c r="AG59" s="372"/>
      <c r="AH59" s="357"/>
      <c r="AI59" s="356"/>
      <c r="AJ59" s="356"/>
      <c r="AK59" s="356"/>
      <c r="AL59" s="356"/>
      <c r="AM59" s="372"/>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57"/>
      <c r="K60" s="356"/>
      <c r="L60" s="356"/>
      <c r="M60" s="356"/>
      <c r="N60" s="356"/>
      <c r="O60" s="372"/>
      <c r="P60" s="357"/>
      <c r="Q60" s="356"/>
      <c r="R60" s="356"/>
      <c r="S60" s="356"/>
      <c r="T60" s="356"/>
      <c r="U60" s="372"/>
      <c r="V60" s="357"/>
      <c r="W60" s="356"/>
      <c r="X60" s="356"/>
      <c r="Y60" s="356"/>
      <c r="Z60" s="356"/>
      <c r="AA60" s="372"/>
      <c r="AB60" s="357"/>
      <c r="AC60" s="356"/>
      <c r="AD60" s="356"/>
      <c r="AE60" s="356"/>
      <c r="AF60" s="356"/>
      <c r="AG60" s="372"/>
      <c r="AH60" s="357"/>
      <c r="AI60" s="356"/>
      <c r="AJ60" s="356"/>
      <c r="AK60" s="356"/>
      <c r="AL60" s="356"/>
      <c r="AM60" s="372"/>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58"/>
      <c r="K61" s="359"/>
      <c r="L61" s="359"/>
      <c r="M61" s="359"/>
      <c r="N61" s="359"/>
      <c r="O61" s="373"/>
      <c r="P61" s="358"/>
      <c r="Q61" s="359"/>
      <c r="R61" s="359"/>
      <c r="S61" s="359"/>
      <c r="T61" s="359"/>
      <c r="U61" s="373"/>
      <c r="V61" s="358"/>
      <c r="W61" s="359"/>
      <c r="X61" s="359"/>
      <c r="Y61" s="359"/>
      <c r="Z61" s="359"/>
      <c r="AA61" s="373"/>
      <c r="AB61" s="358"/>
      <c r="AC61" s="359"/>
      <c r="AD61" s="359"/>
      <c r="AE61" s="359"/>
      <c r="AF61" s="359"/>
      <c r="AG61" s="373"/>
      <c r="AH61" s="358"/>
      <c r="AI61" s="359"/>
      <c r="AJ61" s="359"/>
      <c r="AK61" s="359"/>
      <c r="AL61" s="359"/>
      <c r="AM61" s="373"/>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393" t="s">
        <v>185</v>
      </c>
      <c r="C1" s="393"/>
      <c r="D1" s="393"/>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186</v>
      </c>
      <c r="D3" s="9" t="s">
        <v>169</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187</v>
      </c>
      <c r="C4" s="11" t="s">
        <v>188</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189</v>
      </c>
      <c r="C5" s="14" t="s">
        <v>190</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191</v>
      </c>
      <c r="C6" s="14" t="s">
        <v>192</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193</v>
      </c>
      <c r="C7" s="14" t="s">
        <v>194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195</v>
      </c>
      <c r="C8" s="14" t="s">
        <v>196</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5"/>
      <c r="C9" s="95"/>
      <c r="D9" s="9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96"/>
      <c r="C10" s="95"/>
      <c r="D10" s="9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5"/>
      <c r="C11" s="95"/>
      <c r="D11" s="9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5"/>
      <c r="C12" s="95"/>
      <c r="D12" s="9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5"/>
      <c r="C13" s="95"/>
      <c r="D13" s="9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5"/>
      <c r="C14" s="95"/>
      <c r="D14" s="9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5"/>
      <c r="C15" s="95"/>
      <c r="D15" s="9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5"/>
      <c r="C16" s="95"/>
      <c r="D16" s="9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5"/>
      <c r="C17" s="95"/>
      <c r="D17" s="9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5"/>
      <c r="C18" s="95"/>
      <c r="D18" s="9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94" t="s">
        <v>197</v>
      </c>
      <c r="C1" s="394"/>
      <c r="D1" s="394"/>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2"/>
      <c r="C3" s="28" t="s">
        <v>198</v>
      </c>
      <c r="D3" s="28" t="s">
        <v>199</v>
      </c>
      <c r="E3" s="75"/>
      <c r="F3" s="75"/>
      <c r="G3" s="75"/>
      <c r="H3" s="75"/>
      <c r="I3" s="75"/>
      <c r="J3" s="75"/>
      <c r="K3" s="75"/>
      <c r="L3" s="75"/>
      <c r="M3" s="75"/>
      <c r="N3" s="75"/>
      <c r="O3" s="75"/>
      <c r="P3" s="75"/>
      <c r="Q3" s="75"/>
      <c r="R3" s="75"/>
      <c r="S3" s="75"/>
      <c r="T3" s="75"/>
      <c r="U3" s="75"/>
    </row>
    <row r="4" spans="1:21" ht="33.75" x14ac:dyDescent="0.25">
      <c r="A4" s="91" t="s">
        <v>200</v>
      </c>
      <c r="B4" s="31" t="s">
        <v>201</v>
      </c>
      <c r="C4" s="36" t="s">
        <v>202</v>
      </c>
      <c r="D4" s="29" t="s">
        <v>203</v>
      </c>
      <c r="E4" s="75"/>
      <c r="F4" s="75"/>
      <c r="G4" s="75"/>
      <c r="H4" s="75"/>
      <c r="I4" s="75"/>
      <c r="J4" s="75"/>
      <c r="K4" s="75"/>
      <c r="L4" s="75"/>
      <c r="M4" s="75"/>
      <c r="N4" s="75"/>
      <c r="O4" s="75"/>
      <c r="P4" s="75"/>
      <c r="Q4" s="75"/>
      <c r="R4" s="75"/>
      <c r="S4" s="75"/>
      <c r="T4" s="75"/>
      <c r="U4" s="75"/>
    </row>
    <row r="5" spans="1:21" ht="67.5" x14ac:dyDescent="0.25">
      <c r="A5" s="91" t="s">
        <v>204</v>
      </c>
      <c r="B5" s="32" t="s">
        <v>205</v>
      </c>
      <c r="C5" s="37" t="s">
        <v>206</v>
      </c>
      <c r="D5" s="30" t="s">
        <v>207</v>
      </c>
      <c r="E5" s="75"/>
      <c r="F5" s="75"/>
      <c r="G5" s="75"/>
      <c r="H5" s="75"/>
      <c r="I5" s="75"/>
      <c r="J5" s="75"/>
      <c r="K5" s="75"/>
      <c r="L5" s="75"/>
      <c r="M5" s="75"/>
      <c r="N5" s="75"/>
      <c r="O5" s="75"/>
      <c r="P5" s="75"/>
      <c r="Q5" s="75"/>
      <c r="R5" s="75"/>
      <c r="S5" s="75"/>
      <c r="T5" s="75"/>
      <c r="U5" s="75"/>
    </row>
    <row r="6" spans="1:21" ht="67.5" x14ac:dyDescent="0.25">
      <c r="A6" s="91" t="s">
        <v>175</v>
      </c>
      <c r="B6" s="33" t="s">
        <v>208</v>
      </c>
      <c r="C6" s="37" t="s">
        <v>209</v>
      </c>
      <c r="D6" s="30" t="s">
        <v>210</v>
      </c>
      <c r="E6" s="75"/>
      <c r="F6" s="75"/>
      <c r="G6" s="75"/>
      <c r="H6" s="75"/>
      <c r="I6" s="75"/>
      <c r="J6" s="75"/>
      <c r="K6" s="75"/>
      <c r="L6" s="75"/>
      <c r="M6" s="75"/>
      <c r="N6" s="75"/>
      <c r="O6" s="75"/>
      <c r="P6" s="75"/>
      <c r="Q6" s="75"/>
      <c r="R6" s="75"/>
      <c r="S6" s="75"/>
      <c r="T6" s="75"/>
      <c r="U6" s="75"/>
    </row>
    <row r="7" spans="1:21" ht="101.25" x14ac:dyDescent="0.25">
      <c r="A7" s="91" t="s">
        <v>211</v>
      </c>
      <c r="B7" s="34" t="s">
        <v>212</v>
      </c>
      <c r="C7" s="37" t="s">
        <v>213</v>
      </c>
      <c r="D7" s="30" t="s">
        <v>214</v>
      </c>
      <c r="E7" s="75"/>
      <c r="F7" s="75"/>
      <c r="G7" s="75"/>
      <c r="H7" s="75"/>
      <c r="I7" s="75"/>
      <c r="J7" s="75"/>
      <c r="K7" s="75"/>
      <c r="L7" s="75"/>
      <c r="M7" s="75"/>
      <c r="N7" s="75"/>
      <c r="O7" s="75"/>
      <c r="P7" s="75"/>
      <c r="Q7" s="75"/>
      <c r="R7" s="75"/>
      <c r="S7" s="75"/>
      <c r="T7" s="75"/>
      <c r="U7" s="75"/>
    </row>
    <row r="8" spans="1:21" ht="67.5" x14ac:dyDescent="0.25">
      <c r="A8" s="91" t="s">
        <v>215</v>
      </c>
      <c r="B8" s="35" t="s">
        <v>216</v>
      </c>
      <c r="C8" s="37" t="s">
        <v>217</v>
      </c>
      <c r="D8" s="30" t="s">
        <v>218</v>
      </c>
      <c r="E8" s="75"/>
      <c r="F8" s="75"/>
      <c r="G8" s="75"/>
      <c r="H8" s="75"/>
      <c r="I8" s="75"/>
      <c r="J8" s="75"/>
      <c r="K8" s="75"/>
      <c r="L8" s="75"/>
      <c r="M8" s="75"/>
      <c r="N8" s="75"/>
      <c r="O8" s="75"/>
      <c r="P8" s="75"/>
      <c r="Q8" s="75"/>
      <c r="R8" s="75"/>
      <c r="S8" s="75"/>
      <c r="T8" s="75"/>
      <c r="U8" s="75"/>
    </row>
    <row r="9" spans="1:21" ht="20.25" x14ac:dyDescent="0.25">
      <c r="A9" s="91"/>
      <c r="B9" s="91"/>
      <c r="C9" s="93"/>
      <c r="D9" s="93"/>
      <c r="E9" s="75"/>
      <c r="F9" s="75"/>
      <c r="G9" s="75"/>
      <c r="H9" s="75"/>
      <c r="I9" s="75"/>
      <c r="J9" s="75"/>
      <c r="K9" s="75"/>
      <c r="L9" s="75"/>
      <c r="M9" s="75"/>
      <c r="N9" s="75"/>
      <c r="O9" s="75"/>
      <c r="P9" s="75"/>
      <c r="Q9" s="75"/>
      <c r="R9" s="75"/>
      <c r="S9" s="75"/>
      <c r="T9" s="75"/>
      <c r="U9" s="75"/>
    </row>
    <row r="10" spans="1:21" ht="16.5" x14ac:dyDescent="0.25">
      <c r="A10" s="91"/>
      <c r="B10" s="94"/>
      <c r="C10" s="94"/>
      <c r="D10" s="94"/>
      <c r="E10" s="75"/>
      <c r="F10" s="75"/>
      <c r="G10" s="75"/>
      <c r="H10" s="75"/>
      <c r="I10" s="75"/>
      <c r="J10" s="75"/>
      <c r="K10" s="75"/>
      <c r="L10" s="75"/>
      <c r="M10" s="75"/>
      <c r="N10" s="75"/>
      <c r="O10" s="75"/>
      <c r="P10" s="75"/>
      <c r="Q10" s="75"/>
      <c r="R10" s="75"/>
      <c r="S10" s="75"/>
      <c r="T10" s="75"/>
      <c r="U10" s="75"/>
    </row>
    <row r="11" spans="1:21" x14ac:dyDescent="0.25">
      <c r="A11" s="91"/>
      <c r="B11" s="91" t="s">
        <v>219</v>
      </c>
      <c r="C11" s="91" t="s">
        <v>136</v>
      </c>
      <c r="D11" s="91" t="s">
        <v>111</v>
      </c>
      <c r="E11" s="75"/>
      <c r="F11" s="75"/>
      <c r="G11" s="75"/>
      <c r="H11" s="75"/>
      <c r="I11" s="75"/>
      <c r="J11" s="75"/>
      <c r="K11" s="75"/>
      <c r="L11" s="75"/>
      <c r="M11" s="75"/>
      <c r="N11" s="75"/>
      <c r="O11" s="75"/>
      <c r="P11" s="75"/>
      <c r="Q11" s="75"/>
      <c r="R11" s="75"/>
      <c r="S11" s="75"/>
      <c r="T11" s="75"/>
      <c r="U11" s="75"/>
    </row>
    <row r="12" spans="1:21" x14ac:dyDescent="0.25">
      <c r="A12" s="91"/>
      <c r="B12" s="91" t="s">
        <v>220</v>
      </c>
      <c r="C12" s="91" t="s">
        <v>221</v>
      </c>
      <c r="D12" s="91" t="s">
        <v>142</v>
      </c>
      <c r="E12" s="75"/>
      <c r="F12" s="75"/>
      <c r="G12" s="75"/>
      <c r="H12" s="75"/>
      <c r="I12" s="75"/>
      <c r="J12" s="75"/>
      <c r="K12" s="75"/>
      <c r="L12" s="75"/>
      <c r="M12" s="75"/>
      <c r="N12" s="75"/>
      <c r="O12" s="75"/>
      <c r="P12" s="75"/>
      <c r="Q12" s="75"/>
      <c r="R12" s="75"/>
      <c r="S12" s="75"/>
      <c r="T12" s="75"/>
      <c r="U12" s="75"/>
    </row>
    <row r="13" spans="1:21" x14ac:dyDescent="0.25">
      <c r="A13" s="91"/>
      <c r="B13" s="91"/>
      <c r="C13" s="91" t="s">
        <v>222</v>
      </c>
      <c r="D13" s="91" t="s">
        <v>223</v>
      </c>
      <c r="E13" s="75"/>
      <c r="F13" s="75"/>
      <c r="G13" s="75"/>
      <c r="H13" s="75"/>
      <c r="I13" s="75"/>
      <c r="J13" s="75"/>
      <c r="K13" s="75"/>
      <c r="L13" s="75"/>
      <c r="M13" s="75"/>
      <c r="N13" s="75"/>
      <c r="O13" s="75"/>
      <c r="P13" s="75"/>
      <c r="Q13" s="75"/>
      <c r="R13" s="75"/>
      <c r="S13" s="75"/>
      <c r="T13" s="75"/>
      <c r="U13" s="75"/>
    </row>
    <row r="14" spans="1:21" x14ac:dyDescent="0.25">
      <c r="A14" s="91"/>
      <c r="B14" s="91"/>
      <c r="C14" s="91" t="s">
        <v>224</v>
      </c>
      <c r="D14" s="91" t="s">
        <v>225</v>
      </c>
      <c r="E14" s="75"/>
      <c r="F14" s="75"/>
      <c r="G14" s="75"/>
      <c r="H14" s="75"/>
      <c r="I14" s="75"/>
      <c r="J14" s="75"/>
      <c r="K14" s="75"/>
      <c r="L14" s="75"/>
      <c r="M14" s="75"/>
      <c r="N14" s="75"/>
      <c r="O14" s="75"/>
      <c r="P14" s="75"/>
      <c r="Q14" s="75"/>
      <c r="R14" s="75"/>
      <c r="S14" s="75"/>
      <c r="T14" s="75"/>
      <c r="U14" s="75"/>
    </row>
    <row r="15" spans="1:21" x14ac:dyDescent="0.25">
      <c r="A15" s="91"/>
      <c r="B15" s="91"/>
      <c r="C15" s="91" t="s">
        <v>226</v>
      </c>
      <c r="D15" s="91" t="s">
        <v>227</v>
      </c>
      <c r="E15" s="75"/>
      <c r="F15" s="75"/>
      <c r="G15" s="75"/>
      <c r="H15" s="75"/>
      <c r="I15" s="75"/>
      <c r="J15" s="75"/>
      <c r="K15" s="75"/>
      <c r="L15" s="75"/>
      <c r="M15" s="75"/>
      <c r="N15" s="75"/>
      <c r="O15" s="75"/>
      <c r="P15" s="75"/>
      <c r="Q15" s="75"/>
      <c r="R15" s="75"/>
      <c r="S15" s="75"/>
      <c r="T15" s="75"/>
      <c r="U15" s="75"/>
    </row>
    <row r="16" spans="1:21" x14ac:dyDescent="0.25">
      <c r="A16" s="91"/>
      <c r="B16" s="91"/>
      <c r="C16" s="91"/>
      <c r="D16" s="91"/>
      <c r="E16" s="75"/>
      <c r="F16" s="75"/>
      <c r="G16" s="75"/>
      <c r="H16" s="75"/>
      <c r="I16" s="75"/>
      <c r="J16" s="75"/>
      <c r="K16" s="75"/>
      <c r="L16" s="75"/>
      <c r="M16" s="75"/>
      <c r="N16" s="75"/>
      <c r="O16" s="75"/>
    </row>
    <row r="17" spans="1:15" x14ac:dyDescent="0.25">
      <c r="A17" s="91"/>
      <c r="B17" s="91"/>
      <c r="C17" s="91"/>
      <c r="D17" s="91"/>
      <c r="E17" s="75"/>
      <c r="F17" s="75"/>
      <c r="G17" s="75"/>
      <c r="H17" s="75"/>
      <c r="I17" s="75"/>
      <c r="J17" s="75"/>
      <c r="K17" s="75"/>
      <c r="L17" s="75"/>
      <c r="M17" s="75"/>
      <c r="N17" s="75"/>
      <c r="O17" s="75"/>
    </row>
    <row r="18" spans="1:15" x14ac:dyDescent="0.25">
      <c r="A18" s="91"/>
      <c r="B18" s="95"/>
      <c r="C18" s="95"/>
      <c r="D18" s="95"/>
      <c r="E18" s="75"/>
      <c r="F18" s="75"/>
      <c r="G18" s="75"/>
      <c r="H18" s="75"/>
      <c r="I18" s="75"/>
      <c r="J18" s="75"/>
      <c r="K18" s="75"/>
      <c r="L18" s="75"/>
      <c r="M18" s="75"/>
      <c r="N18" s="75"/>
      <c r="O18" s="75"/>
    </row>
    <row r="19" spans="1:15" x14ac:dyDescent="0.25">
      <c r="A19" s="91"/>
      <c r="B19" s="95"/>
      <c r="C19" s="95"/>
      <c r="D19" s="95"/>
      <c r="E19" s="75"/>
      <c r="F19" s="75"/>
      <c r="G19" s="75"/>
      <c r="H19" s="75"/>
      <c r="I19" s="75"/>
      <c r="J19" s="75"/>
      <c r="K19" s="75"/>
      <c r="L19" s="75"/>
      <c r="M19" s="75"/>
      <c r="N19" s="75"/>
      <c r="O19" s="75"/>
    </row>
    <row r="20" spans="1:15" x14ac:dyDescent="0.25">
      <c r="A20" s="91"/>
      <c r="B20" s="95"/>
      <c r="C20" s="95"/>
      <c r="D20" s="95"/>
      <c r="E20" s="75"/>
      <c r="F20" s="75"/>
      <c r="G20" s="75"/>
      <c r="H20" s="75"/>
      <c r="I20" s="75"/>
      <c r="J20" s="75"/>
      <c r="K20" s="75"/>
      <c r="L20" s="75"/>
      <c r="M20" s="75"/>
      <c r="N20" s="75"/>
      <c r="O20" s="75"/>
    </row>
    <row r="21" spans="1:15" x14ac:dyDescent="0.25">
      <c r="A21" s="91"/>
      <c r="B21" s="95"/>
      <c r="C21" s="95"/>
      <c r="D21" s="95"/>
      <c r="E21" s="75"/>
      <c r="F21" s="75"/>
      <c r="G21" s="75"/>
      <c r="H21" s="75"/>
      <c r="I21" s="75"/>
      <c r="J21" s="75"/>
      <c r="K21" s="75"/>
      <c r="L21" s="75"/>
      <c r="M21" s="75"/>
      <c r="N21" s="75"/>
      <c r="O21" s="75"/>
    </row>
    <row r="22" spans="1:15" ht="20.25" x14ac:dyDescent="0.25">
      <c r="A22" s="91"/>
      <c r="B22" s="91"/>
      <c r="C22" s="93"/>
      <c r="D22" s="93"/>
      <c r="E22" s="75"/>
      <c r="F22" s="75"/>
      <c r="G22" s="75"/>
      <c r="H22" s="75"/>
      <c r="I22" s="75"/>
      <c r="J22" s="75"/>
      <c r="K22" s="75"/>
      <c r="L22" s="75"/>
      <c r="M22" s="75"/>
      <c r="N22" s="75"/>
      <c r="O22" s="75"/>
    </row>
    <row r="23" spans="1:15" ht="20.25" x14ac:dyDescent="0.25">
      <c r="A23" s="91"/>
      <c r="B23" s="91"/>
      <c r="C23" s="93"/>
      <c r="D23" s="93"/>
      <c r="E23" s="75"/>
      <c r="F23" s="75"/>
      <c r="G23" s="75"/>
      <c r="H23" s="75"/>
      <c r="I23" s="75"/>
      <c r="J23" s="75"/>
      <c r="K23" s="75"/>
      <c r="L23" s="75"/>
      <c r="M23" s="75"/>
      <c r="N23" s="75"/>
      <c r="O23" s="75"/>
    </row>
    <row r="24" spans="1:15" ht="20.25" x14ac:dyDescent="0.25">
      <c r="A24" s="91"/>
      <c r="B24" s="91"/>
      <c r="C24" s="93"/>
      <c r="D24" s="93"/>
      <c r="E24" s="75"/>
      <c r="F24" s="75"/>
      <c r="G24" s="75"/>
      <c r="H24" s="75"/>
      <c r="I24" s="75"/>
      <c r="J24" s="75"/>
      <c r="K24" s="75"/>
      <c r="L24" s="75"/>
      <c r="M24" s="75"/>
      <c r="N24" s="75"/>
      <c r="O24" s="75"/>
    </row>
    <row r="25" spans="1:15" ht="20.25" x14ac:dyDescent="0.25">
      <c r="A25" s="91"/>
      <c r="B25" s="91"/>
      <c r="C25" s="93"/>
      <c r="D25" s="93"/>
      <c r="E25" s="75"/>
      <c r="F25" s="75"/>
      <c r="G25" s="75"/>
      <c r="H25" s="75"/>
      <c r="I25" s="75"/>
      <c r="J25" s="75"/>
      <c r="K25" s="75"/>
      <c r="L25" s="75"/>
      <c r="M25" s="75"/>
      <c r="N25" s="75"/>
      <c r="O25" s="75"/>
    </row>
    <row r="26" spans="1:15" ht="20.25" x14ac:dyDescent="0.25">
      <c r="A26" s="91"/>
      <c r="B26" s="91"/>
      <c r="C26" s="93"/>
      <c r="D26" s="93"/>
      <c r="E26" s="75"/>
      <c r="F26" s="75"/>
      <c r="G26" s="75"/>
      <c r="H26" s="75"/>
      <c r="I26" s="75"/>
      <c r="J26" s="75"/>
      <c r="K26" s="75"/>
      <c r="L26" s="75"/>
      <c r="M26" s="75"/>
      <c r="N26" s="75"/>
      <c r="O26" s="75"/>
    </row>
    <row r="27" spans="1:15" ht="20.25" x14ac:dyDescent="0.25">
      <c r="A27" s="91"/>
      <c r="B27" s="91"/>
      <c r="C27" s="93"/>
      <c r="D27" s="93"/>
      <c r="E27" s="75"/>
      <c r="F27" s="75"/>
      <c r="G27" s="75"/>
      <c r="H27" s="75"/>
      <c r="I27" s="75"/>
      <c r="J27" s="75"/>
      <c r="K27" s="75"/>
      <c r="L27" s="75"/>
      <c r="M27" s="75"/>
      <c r="N27" s="75"/>
      <c r="O27" s="75"/>
    </row>
    <row r="28" spans="1:15" ht="20.25" x14ac:dyDescent="0.25">
      <c r="A28" s="91"/>
      <c r="B28" s="91"/>
      <c r="C28" s="93"/>
      <c r="D28" s="93"/>
      <c r="E28" s="75"/>
      <c r="F28" s="75"/>
      <c r="G28" s="75"/>
      <c r="H28" s="75"/>
      <c r="I28" s="75"/>
      <c r="J28" s="75"/>
      <c r="K28" s="75"/>
      <c r="L28" s="75"/>
      <c r="M28" s="75"/>
      <c r="N28" s="75"/>
      <c r="O28" s="75"/>
    </row>
    <row r="29" spans="1:15" ht="20.25" x14ac:dyDescent="0.25">
      <c r="A29" s="91"/>
      <c r="B29" s="91"/>
      <c r="C29" s="93"/>
      <c r="D29" s="93"/>
      <c r="E29" s="75"/>
      <c r="F29" s="75"/>
      <c r="G29" s="75"/>
      <c r="H29" s="75"/>
      <c r="I29" s="75"/>
      <c r="J29" s="75"/>
      <c r="K29" s="75"/>
      <c r="L29" s="75"/>
      <c r="M29" s="75"/>
      <c r="N29" s="75"/>
      <c r="O29" s="75"/>
    </row>
    <row r="30" spans="1:15" ht="20.25" x14ac:dyDescent="0.25">
      <c r="A30" s="91"/>
      <c r="B30" s="91"/>
      <c r="C30" s="93"/>
      <c r="D30" s="93"/>
      <c r="E30" s="75"/>
      <c r="F30" s="75"/>
      <c r="G30" s="75"/>
      <c r="H30" s="75"/>
      <c r="I30" s="75"/>
      <c r="J30" s="75"/>
      <c r="K30" s="75"/>
      <c r="L30" s="75"/>
      <c r="M30" s="75"/>
      <c r="N30" s="75"/>
      <c r="O30" s="75"/>
    </row>
    <row r="31" spans="1:15" ht="20.25" x14ac:dyDescent="0.25">
      <c r="A31" s="91"/>
      <c r="B31" s="91"/>
      <c r="C31" s="93"/>
      <c r="D31" s="93"/>
      <c r="E31" s="75"/>
      <c r="F31" s="75"/>
      <c r="G31" s="75"/>
      <c r="H31" s="75"/>
      <c r="I31" s="75"/>
      <c r="J31" s="75"/>
      <c r="K31" s="75"/>
      <c r="L31" s="75"/>
      <c r="M31" s="75"/>
      <c r="N31" s="75"/>
      <c r="O31" s="75"/>
    </row>
    <row r="32" spans="1:15" ht="20.25" x14ac:dyDescent="0.25">
      <c r="A32" s="91"/>
      <c r="B32" s="91"/>
      <c r="C32" s="93"/>
      <c r="D32" s="93"/>
      <c r="E32" s="75"/>
      <c r="F32" s="75"/>
      <c r="G32" s="75"/>
      <c r="H32" s="75"/>
      <c r="I32" s="75"/>
      <c r="J32" s="75"/>
      <c r="K32" s="75"/>
      <c r="L32" s="75"/>
      <c r="M32" s="75"/>
      <c r="N32" s="75"/>
      <c r="O32" s="75"/>
    </row>
    <row r="33" spans="1:15" ht="20.25" x14ac:dyDescent="0.25">
      <c r="A33" s="91"/>
      <c r="B33" s="91"/>
      <c r="C33" s="93"/>
      <c r="D33" s="93"/>
      <c r="E33" s="75"/>
      <c r="F33" s="75"/>
      <c r="G33" s="75"/>
      <c r="H33" s="75"/>
      <c r="I33" s="75"/>
      <c r="J33" s="75"/>
      <c r="K33" s="75"/>
      <c r="L33" s="75"/>
      <c r="M33" s="75"/>
      <c r="N33" s="75"/>
      <c r="O33" s="75"/>
    </row>
    <row r="34" spans="1:15" ht="20.25" x14ac:dyDescent="0.25">
      <c r="A34" s="91"/>
      <c r="B34" s="91"/>
      <c r="C34" s="93"/>
      <c r="D34" s="93"/>
      <c r="E34" s="75"/>
      <c r="F34" s="75"/>
      <c r="G34" s="75"/>
      <c r="H34" s="75"/>
      <c r="I34" s="75"/>
      <c r="J34" s="75"/>
      <c r="K34" s="75"/>
      <c r="L34" s="75"/>
      <c r="M34" s="75"/>
      <c r="N34" s="75"/>
      <c r="O34" s="75"/>
    </row>
    <row r="35" spans="1:15" ht="20.25" x14ac:dyDescent="0.25">
      <c r="A35" s="91"/>
      <c r="B35" s="91"/>
      <c r="C35" s="93"/>
      <c r="D35" s="93"/>
      <c r="E35" s="75"/>
      <c r="F35" s="75"/>
      <c r="G35" s="75"/>
      <c r="H35" s="75"/>
      <c r="I35" s="75"/>
      <c r="J35" s="75"/>
      <c r="K35" s="75"/>
      <c r="L35" s="75"/>
      <c r="M35" s="75"/>
      <c r="N35" s="75"/>
      <c r="O35" s="75"/>
    </row>
    <row r="36" spans="1:15" ht="20.25" x14ac:dyDescent="0.25">
      <c r="A36" s="91"/>
      <c r="B36" s="91"/>
      <c r="C36" s="93"/>
      <c r="D36" s="93"/>
      <c r="E36" s="75"/>
      <c r="F36" s="75"/>
      <c r="G36" s="75"/>
      <c r="H36" s="75"/>
      <c r="I36" s="75"/>
      <c r="J36" s="75"/>
      <c r="K36" s="75"/>
      <c r="L36" s="75"/>
      <c r="M36" s="75"/>
      <c r="N36" s="75"/>
      <c r="O36" s="75"/>
    </row>
    <row r="37" spans="1:15" ht="20.25" x14ac:dyDescent="0.25">
      <c r="A37" s="91"/>
      <c r="B37" s="91"/>
      <c r="C37" s="93"/>
      <c r="D37" s="93"/>
      <c r="E37" s="75"/>
      <c r="F37" s="75"/>
      <c r="G37" s="75"/>
      <c r="H37" s="75"/>
      <c r="I37" s="75"/>
      <c r="J37" s="75"/>
      <c r="K37" s="75"/>
      <c r="L37" s="75"/>
      <c r="M37" s="75"/>
      <c r="N37" s="75"/>
      <c r="O37" s="75"/>
    </row>
    <row r="38" spans="1:15" ht="20.25" x14ac:dyDescent="0.25">
      <c r="A38" s="91"/>
      <c r="B38" s="91"/>
      <c r="C38" s="93"/>
      <c r="D38" s="93"/>
      <c r="E38" s="75"/>
      <c r="F38" s="75"/>
      <c r="G38" s="75"/>
      <c r="H38" s="75"/>
      <c r="I38" s="75"/>
      <c r="J38" s="75"/>
      <c r="K38" s="75"/>
      <c r="L38" s="75"/>
      <c r="M38" s="75"/>
      <c r="N38" s="75"/>
      <c r="O38" s="75"/>
    </row>
    <row r="39" spans="1:15" ht="20.25" x14ac:dyDescent="0.25">
      <c r="A39" s="91"/>
      <c r="B39" s="91"/>
      <c r="C39" s="93"/>
      <c r="D39" s="93"/>
      <c r="E39" s="75"/>
      <c r="F39" s="75"/>
      <c r="G39" s="75"/>
      <c r="H39" s="75"/>
      <c r="I39" s="75"/>
      <c r="J39" s="75"/>
      <c r="K39" s="75"/>
      <c r="L39" s="75"/>
      <c r="M39" s="75"/>
      <c r="N39" s="75"/>
      <c r="O39" s="75"/>
    </row>
    <row r="40" spans="1:15" ht="20.25" x14ac:dyDescent="0.25">
      <c r="A40" s="91"/>
      <c r="B40" s="91"/>
      <c r="C40" s="93"/>
      <c r="D40" s="93"/>
      <c r="E40" s="75"/>
      <c r="F40" s="75"/>
      <c r="G40" s="75"/>
      <c r="H40" s="75"/>
      <c r="I40" s="75"/>
      <c r="J40" s="75"/>
      <c r="K40" s="75"/>
      <c r="L40" s="75"/>
      <c r="M40" s="75"/>
      <c r="N40" s="75"/>
      <c r="O40" s="75"/>
    </row>
    <row r="41" spans="1:15" ht="20.25" x14ac:dyDescent="0.25">
      <c r="A41" s="91"/>
      <c r="B41" s="91"/>
      <c r="C41" s="93"/>
      <c r="D41" s="93"/>
      <c r="E41" s="75"/>
      <c r="F41" s="75"/>
      <c r="G41" s="75"/>
      <c r="H41" s="75"/>
      <c r="I41" s="75"/>
      <c r="J41" s="75"/>
      <c r="K41" s="75"/>
      <c r="L41" s="75"/>
      <c r="M41" s="75"/>
      <c r="N41" s="75"/>
      <c r="O41" s="75"/>
    </row>
    <row r="42" spans="1:15" ht="20.25" x14ac:dyDescent="0.25">
      <c r="A42" s="91"/>
      <c r="B42" s="91"/>
      <c r="C42" s="93"/>
      <c r="D42" s="93"/>
      <c r="E42" s="75"/>
      <c r="F42" s="75"/>
      <c r="G42" s="75"/>
      <c r="H42" s="75"/>
      <c r="I42" s="75"/>
      <c r="J42" s="75"/>
      <c r="K42" s="75"/>
      <c r="L42" s="75"/>
      <c r="M42" s="75"/>
      <c r="N42" s="75"/>
      <c r="O42" s="75"/>
    </row>
    <row r="43" spans="1:15" ht="20.25" x14ac:dyDescent="0.25">
      <c r="A43" s="91"/>
      <c r="B43" s="91"/>
      <c r="C43" s="93"/>
      <c r="D43" s="93"/>
      <c r="E43" s="75"/>
      <c r="F43" s="75"/>
      <c r="G43" s="75"/>
      <c r="H43" s="75"/>
      <c r="I43" s="75"/>
      <c r="J43" s="75"/>
      <c r="K43" s="75"/>
      <c r="L43" s="75"/>
      <c r="M43" s="75"/>
      <c r="N43" s="75"/>
      <c r="O43" s="75"/>
    </row>
    <row r="44" spans="1:15" ht="20.25" x14ac:dyDescent="0.25">
      <c r="A44" s="91"/>
      <c r="B44" s="91"/>
      <c r="C44" s="93"/>
      <c r="D44" s="93"/>
      <c r="E44" s="75"/>
      <c r="F44" s="75"/>
      <c r="G44" s="75"/>
      <c r="H44" s="75"/>
      <c r="I44" s="75"/>
      <c r="J44" s="75"/>
      <c r="K44" s="75"/>
      <c r="L44" s="75"/>
      <c r="M44" s="75"/>
      <c r="N44" s="75"/>
      <c r="O44" s="75"/>
    </row>
    <row r="45" spans="1:15" ht="20.25" x14ac:dyDescent="0.25">
      <c r="A45" s="91"/>
      <c r="B45" s="91"/>
      <c r="C45" s="93"/>
      <c r="D45" s="93"/>
      <c r="E45" s="75"/>
      <c r="F45" s="75"/>
      <c r="G45" s="75"/>
      <c r="H45" s="75"/>
      <c r="I45" s="75"/>
      <c r="J45" s="75"/>
      <c r="K45" s="75"/>
      <c r="L45" s="75"/>
      <c r="M45" s="75"/>
      <c r="N45" s="75"/>
      <c r="O45" s="75"/>
    </row>
    <row r="46" spans="1:15" ht="20.25" x14ac:dyDescent="0.25">
      <c r="A46" s="91"/>
      <c r="B46" s="91"/>
      <c r="C46" s="93"/>
      <c r="D46" s="93"/>
      <c r="E46" s="75"/>
      <c r="F46" s="75"/>
      <c r="G46" s="75"/>
      <c r="H46" s="75"/>
      <c r="I46" s="75"/>
      <c r="J46" s="75"/>
      <c r="K46" s="75"/>
      <c r="L46" s="75"/>
      <c r="M46" s="75"/>
      <c r="N46" s="75"/>
      <c r="O46" s="75"/>
    </row>
    <row r="47" spans="1:15" ht="20.25" x14ac:dyDescent="0.25">
      <c r="A47" s="91"/>
      <c r="B47" s="91"/>
      <c r="C47" s="93"/>
      <c r="D47" s="93"/>
      <c r="E47" s="75"/>
      <c r="F47" s="75"/>
      <c r="G47" s="75"/>
      <c r="H47" s="75"/>
      <c r="I47" s="75"/>
      <c r="J47" s="75"/>
      <c r="K47" s="75"/>
      <c r="L47" s="75"/>
      <c r="M47" s="75"/>
      <c r="N47" s="75"/>
      <c r="O47" s="75"/>
    </row>
    <row r="48" spans="1:15" ht="20.25" x14ac:dyDescent="0.25">
      <c r="A48" s="91"/>
      <c r="B48" s="91"/>
      <c r="C48" s="93"/>
      <c r="D48" s="93"/>
      <c r="E48" s="75"/>
      <c r="F48" s="75"/>
      <c r="G48" s="75"/>
      <c r="H48" s="75"/>
      <c r="I48" s="75"/>
      <c r="J48" s="75"/>
      <c r="K48" s="75"/>
      <c r="L48" s="75"/>
      <c r="M48" s="75"/>
      <c r="N48" s="75"/>
      <c r="O48" s="75"/>
    </row>
    <row r="49" spans="1:15" ht="20.25" x14ac:dyDescent="0.25">
      <c r="A49" s="91"/>
      <c r="B49" s="91"/>
      <c r="C49" s="93"/>
      <c r="D49" s="93"/>
      <c r="E49" s="75"/>
      <c r="F49" s="75"/>
      <c r="G49" s="75"/>
      <c r="H49" s="75"/>
      <c r="I49" s="75"/>
      <c r="J49" s="75"/>
      <c r="K49" s="75"/>
      <c r="L49" s="75"/>
      <c r="M49" s="75"/>
      <c r="N49" s="75"/>
      <c r="O49" s="75"/>
    </row>
    <row r="50" spans="1:15" ht="20.25" x14ac:dyDescent="0.25">
      <c r="A50" s="91"/>
      <c r="B50" s="91"/>
      <c r="C50" s="93"/>
      <c r="D50" s="93"/>
      <c r="E50" s="75"/>
      <c r="F50" s="75"/>
      <c r="G50" s="75"/>
      <c r="H50" s="75"/>
      <c r="I50" s="75"/>
      <c r="J50" s="75"/>
      <c r="K50" s="75"/>
      <c r="L50" s="75"/>
      <c r="M50" s="75"/>
      <c r="N50" s="75"/>
      <c r="O50" s="75"/>
    </row>
    <row r="51" spans="1:15" ht="20.25" x14ac:dyDescent="0.25">
      <c r="A51" s="91"/>
      <c r="B51" s="91"/>
      <c r="C51" s="93"/>
      <c r="D51" s="93"/>
      <c r="E51" s="75"/>
      <c r="F51" s="75"/>
      <c r="G51" s="75"/>
      <c r="H51" s="75"/>
      <c r="I51" s="75"/>
      <c r="J51" s="75"/>
      <c r="K51" s="75"/>
      <c r="L51" s="75"/>
      <c r="M51" s="75"/>
      <c r="N51" s="75"/>
      <c r="O51" s="75"/>
    </row>
    <row r="52" spans="1:15" ht="20.25" x14ac:dyDescent="0.25">
      <c r="A52" s="91"/>
      <c r="B52" s="20"/>
      <c r="C52" s="26"/>
      <c r="D52" s="26"/>
    </row>
    <row r="53" spans="1:15" ht="20.25" x14ac:dyDescent="0.25">
      <c r="A53" s="91"/>
      <c r="B53" s="20"/>
      <c r="C53" s="26"/>
      <c r="D53" s="26"/>
    </row>
    <row r="54" spans="1:15" ht="20.25" x14ac:dyDescent="0.25">
      <c r="A54" s="91"/>
      <c r="B54" s="20"/>
      <c r="C54" s="26"/>
      <c r="D54" s="26"/>
    </row>
    <row r="55" spans="1:15" ht="20.25" x14ac:dyDescent="0.25">
      <c r="A55" s="91"/>
      <c r="B55" s="20"/>
      <c r="C55" s="26"/>
      <c r="D55" s="26"/>
    </row>
    <row r="56" spans="1:15" ht="20.25" x14ac:dyDescent="0.25">
      <c r="A56" s="91"/>
      <c r="B56" s="20"/>
      <c r="C56" s="26"/>
      <c r="D56" s="26"/>
    </row>
    <row r="57" spans="1:15" ht="20.25" x14ac:dyDescent="0.25">
      <c r="A57" s="91"/>
      <c r="B57" s="20"/>
      <c r="C57" s="26"/>
      <c r="D57" s="26"/>
    </row>
    <row r="58" spans="1:15" ht="20.25" x14ac:dyDescent="0.25">
      <c r="A58" s="91"/>
      <c r="B58" s="20"/>
      <c r="C58" s="26"/>
      <c r="D58" s="26"/>
    </row>
    <row r="59" spans="1:15" ht="20.25" x14ac:dyDescent="0.25">
      <c r="A59" s="91"/>
      <c r="B59" s="20"/>
      <c r="C59" s="26"/>
      <c r="D59" s="26"/>
    </row>
    <row r="60" spans="1:15" ht="20.25" x14ac:dyDescent="0.25">
      <c r="A60" s="91"/>
      <c r="B60" s="20"/>
      <c r="C60" s="26"/>
      <c r="D60" s="26"/>
    </row>
    <row r="61" spans="1:15" ht="20.25" x14ac:dyDescent="0.25">
      <c r="A61" s="91"/>
      <c r="B61" s="20"/>
      <c r="C61" s="26"/>
      <c r="D61" s="26"/>
    </row>
    <row r="62" spans="1:15" ht="20.25" x14ac:dyDescent="0.25">
      <c r="A62" s="91"/>
      <c r="B62" s="20"/>
      <c r="C62" s="26"/>
      <c r="D62" s="26"/>
    </row>
    <row r="63" spans="1:15" ht="20.25" x14ac:dyDescent="0.25">
      <c r="A63" s="91"/>
      <c r="B63" s="20"/>
      <c r="C63" s="26"/>
      <c r="D63" s="26"/>
    </row>
    <row r="64" spans="1:15" ht="20.25" x14ac:dyDescent="0.25">
      <c r="A64" s="91"/>
      <c r="B64" s="20"/>
      <c r="C64" s="26"/>
      <c r="D64" s="26"/>
    </row>
    <row r="65" spans="1:4" ht="20.25" x14ac:dyDescent="0.25">
      <c r="A65" s="91"/>
      <c r="B65" s="20"/>
      <c r="C65" s="26"/>
      <c r="D65" s="26"/>
    </row>
    <row r="66" spans="1:4" ht="20.25" x14ac:dyDescent="0.25">
      <c r="A66" s="91"/>
      <c r="B66" s="20"/>
      <c r="C66" s="26"/>
      <c r="D66" s="26"/>
    </row>
    <row r="67" spans="1:4" ht="20.25" x14ac:dyDescent="0.25">
      <c r="A67" s="91"/>
      <c r="B67" s="20"/>
      <c r="C67" s="26"/>
      <c r="D67" s="26"/>
    </row>
    <row r="68" spans="1:4" ht="20.25" x14ac:dyDescent="0.25">
      <c r="A68" s="91"/>
      <c r="B68" s="20"/>
      <c r="C68" s="26"/>
      <c r="D68" s="26"/>
    </row>
    <row r="69" spans="1:4" ht="20.25" x14ac:dyDescent="0.25">
      <c r="A69" s="91"/>
      <c r="B69" s="20"/>
      <c r="C69" s="26"/>
      <c r="D69" s="26"/>
    </row>
    <row r="70" spans="1:4" ht="20.25" x14ac:dyDescent="0.25">
      <c r="A70" s="91"/>
      <c r="B70" s="20"/>
      <c r="C70" s="26"/>
      <c r="D70" s="26"/>
    </row>
    <row r="71" spans="1:4" ht="20.25" x14ac:dyDescent="0.25">
      <c r="A71" s="91"/>
      <c r="B71" s="20"/>
      <c r="C71" s="26"/>
      <c r="D71" s="26"/>
    </row>
    <row r="72" spans="1:4" ht="20.25" x14ac:dyDescent="0.25">
      <c r="A72" s="91"/>
      <c r="B72" s="20"/>
      <c r="C72" s="26"/>
      <c r="D72" s="26"/>
    </row>
    <row r="73" spans="1:4" ht="20.25" x14ac:dyDescent="0.25">
      <c r="A73" s="91"/>
      <c r="B73" s="20"/>
      <c r="C73" s="26"/>
      <c r="D73" s="26"/>
    </row>
    <row r="74" spans="1:4" ht="20.25" x14ac:dyDescent="0.25">
      <c r="A74" s="91"/>
      <c r="B74" s="20"/>
      <c r="C74" s="26"/>
      <c r="D74" s="26"/>
    </row>
    <row r="75" spans="1:4" ht="20.25" x14ac:dyDescent="0.25">
      <c r="A75" s="91"/>
      <c r="B75" s="20"/>
      <c r="C75" s="26"/>
      <c r="D75" s="26"/>
    </row>
    <row r="76" spans="1:4" ht="20.25" x14ac:dyDescent="0.25">
      <c r="A76" s="91"/>
      <c r="B76" s="20"/>
      <c r="C76" s="26"/>
      <c r="D76" s="26"/>
    </row>
    <row r="77" spans="1:4" ht="20.25" x14ac:dyDescent="0.25">
      <c r="A77" s="91"/>
      <c r="B77" s="20"/>
      <c r="C77" s="26"/>
      <c r="D77" s="26"/>
    </row>
    <row r="78" spans="1:4" ht="20.25" x14ac:dyDescent="0.25">
      <c r="A78" s="91"/>
      <c r="B78" s="20"/>
      <c r="C78" s="26"/>
      <c r="D78" s="26"/>
    </row>
    <row r="79" spans="1:4" ht="20.25" x14ac:dyDescent="0.25">
      <c r="A79" s="91"/>
      <c r="B79" s="20"/>
      <c r="C79" s="26"/>
      <c r="D79" s="26"/>
    </row>
    <row r="80" spans="1:4" ht="20.25" x14ac:dyDescent="0.25">
      <c r="A80" s="91"/>
      <c r="B80" s="20"/>
      <c r="C80" s="26"/>
      <c r="D80" s="26"/>
    </row>
    <row r="81" spans="1:4" ht="20.25" x14ac:dyDescent="0.25">
      <c r="A81" s="91"/>
      <c r="B81" s="20"/>
      <c r="C81" s="26"/>
      <c r="D81" s="26"/>
    </row>
    <row r="82" spans="1:4" ht="20.25" x14ac:dyDescent="0.25">
      <c r="A82" s="91"/>
      <c r="B82" s="20"/>
      <c r="C82" s="26"/>
      <c r="D82" s="26"/>
    </row>
    <row r="83" spans="1:4" ht="20.25" x14ac:dyDescent="0.25">
      <c r="A83" s="91"/>
      <c r="B83" s="20"/>
      <c r="C83" s="26"/>
      <c r="D83" s="26"/>
    </row>
    <row r="84" spans="1:4" ht="20.25" x14ac:dyDescent="0.25">
      <c r="A84" s="91"/>
      <c r="B84" s="20"/>
      <c r="C84" s="26"/>
      <c r="D84" s="26"/>
    </row>
    <row r="85" spans="1:4" ht="20.25" x14ac:dyDescent="0.25">
      <c r="A85" s="91"/>
      <c r="B85" s="20"/>
      <c r="C85" s="26"/>
      <c r="D85" s="26"/>
    </row>
    <row r="86" spans="1:4" ht="20.25" x14ac:dyDescent="0.25">
      <c r="A86" s="91"/>
      <c r="B86" s="20"/>
      <c r="C86" s="26"/>
      <c r="D86" s="26"/>
    </row>
    <row r="87" spans="1:4" ht="20.25" x14ac:dyDescent="0.25">
      <c r="A87" s="91"/>
      <c r="B87" s="20"/>
      <c r="C87" s="26"/>
      <c r="D87" s="26"/>
    </row>
    <row r="88" spans="1:4" ht="20.25" x14ac:dyDescent="0.25">
      <c r="A88" s="91"/>
      <c r="B88" s="20"/>
      <c r="C88" s="26"/>
      <c r="D88" s="26"/>
    </row>
    <row r="89" spans="1:4" ht="20.25" x14ac:dyDescent="0.25">
      <c r="A89" s="91"/>
      <c r="B89" s="20"/>
      <c r="C89" s="26"/>
      <c r="D89" s="26"/>
    </row>
    <row r="90" spans="1:4" ht="20.25" x14ac:dyDescent="0.25">
      <c r="A90" s="91"/>
      <c r="B90" s="20"/>
      <c r="C90" s="26"/>
      <c r="D90" s="26"/>
    </row>
    <row r="91" spans="1:4" ht="20.25" x14ac:dyDescent="0.25">
      <c r="A91" s="91"/>
      <c r="B91" s="20"/>
      <c r="C91" s="26"/>
      <c r="D91" s="26"/>
    </row>
    <row r="92" spans="1:4" ht="20.25" x14ac:dyDescent="0.25">
      <c r="A92" s="91"/>
      <c r="B92" s="20"/>
      <c r="C92" s="26"/>
      <c r="D92" s="26"/>
    </row>
    <row r="93" spans="1:4" ht="20.25" x14ac:dyDescent="0.25">
      <c r="A93" s="91"/>
      <c r="B93" s="20"/>
      <c r="C93" s="26"/>
      <c r="D93" s="26"/>
    </row>
    <row r="94" spans="1:4" ht="20.25" x14ac:dyDescent="0.25">
      <c r="A94" s="91"/>
      <c r="B94" s="20"/>
      <c r="C94" s="26"/>
      <c r="D94" s="26"/>
    </row>
    <row r="95" spans="1:4" ht="20.25" x14ac:dyDescent="0.25">
      <c r="A95" s="91"/>
      <c r="B95" s="20"/>
      <c r="C95" s="26"/>
      <c r="D95" s="26"/>
    </row>
    <row r="96" spans="1:4" ht="20.25" x14ac:dyDescent="0.25">
      <c r="A96" s="91"/>
      <c r="B96" s="20"/>
      <c r="C96" s="26"/>
      <c r="D96" s="26"/>
    </row>
    <row r="97" spans="1:4" ht="20.25" x14ac:dyDescent="0.25">
      <c r="A97" s="91"/>
      <c r="B97" s="20"/>
      <c r="C97" s="26"/>
      <c r="D97" s="26"/>
    </row>
    <row r="98" spans="1:4" ht="20.25" x14ac:dyDescent="0.25">
      <c r="A98" s="91"/>
      <c r="B98" s="20"/>
      <c r="C98" s="26"/>
      <c r="D98" s="26"/>
    </row>
    <row r="99" spans="1:4" ht="20.25" x14ac:dyDescent="0.25">
      <c r="A99" s="91"/>
      <c r="B99" s="20"/>
      <c r="C99" s="26"/>
      <c r="D99" s="26"/>
    </row>
    <row r="100" spans="1:4" ht="20.25" x14ac:dyDescent="0.25">
      <c r="A100" s="91"/>
      <c r="B100" s="20"/>
      <c r="C100" s="26"/>
      <c r="D100" s="26"/>
    </row>
    <row r="101" spans="1:4" ht="20.25" x14ac:dyDescent="0.25">
      <c r="A101" s="91"/>
      <c r="B101" s="20"/>
      <c r="C101" s="26"/>
      <c r="D101" s="26"/>
    </row>
    <row r="102" spans="1:4" ht="20.25" x14ac:dyDescent="0.25">
      <c r="A102" s="91"/>
      <c r="B102" s="20"/>
      <c r="C102" s="26"/>
      <c r="D102" s="26"/>
    </row>
    <row r="103" spans="1:4" ht="20.25" x14ac:dyDescent="0.25">
      <c r="A103" s="91"/>
      <c r="B103" s="20"/>
      <c r="C103" s="26"/>
      <c r="D103" s="26"/>
    </row>
    <row r="104" spans="1:4" ht="20.25" x14ac:dyDescent="0.25">
      <c r="A104" s="91"/>
      <c r="B104" s="20"/>
      <c r="C104" s="26"/>
      <c r="D104" s="26"/>
    </row>
    <row r="105" spans="1:4" ht="20.25" x14ac:dyDescent="0.25">
      <c r="A105" s="91"/>
      <c r="B105" s="20"/>
      <c r="C105" s="26"/>
      <c r="D105" s="26"/>
    </row>
    <row r="106" spans="1:4" ht="20.25" x14ac:dyDescent="0.25">
      <c r="A106" s="91"/>
      <c r="B106" s="20"/>
      <c r="C106" s="26"/>
      <c r="D106" s="26"/>
    </row>
    <row r="107" spans="1:4" ht="20.25" x14ac:dyDescent="0.25">
      <c r="A107" s="91"/>
      <c r="B107" s="20"/>
      <c r="C107" s="26"/>
      <c r="D107" s="26"/>
    </row>
    <row r="108" spans="1:4" ht="20.25" x14ac:dyDescent="0.25">
      <c r="A108" s="91"/>
      <c r="B108" s="20"/>
      <c r="C108" s="26"/>
      <c r="D108" s="26"/>
    </row>
    <row r="109" spans="1:4" ht="20.25" x14ac:dyDescent="0.25">
      <c r="A109" s="91"/>
      <c r="B109" s="20"/>
      <c r="C109" s="26"/>
      <c r="D109" s="26"/>
    </row>
    <row r="110" spans="1:4" ht="20.25" x14ac:dyDescent="0.25">
      <c r="A110" s="91"/>
      <c r="B110" s="20"/>
      <c r="C110" s="26"/>
      <c r="D110" s="26"/>
    </row>
    <row r="111" spans="1:4" ht="20.25" x14ac:dyDescent="0.25">
      <c r="A111" s="91"/>
      <c r="B111" s="20"/>
      <c r="C111" s="26"/>
      <c r="D111" s="26"/>
    </row>
    <row r="112" spans="1:4" ht="20.25" x14ac:dyDescent="0.25">
      <c r="A112" s="91"/>
      <c r="B112" s="20"/>
      <c r="C112" s="26"/>
      <c r="D112" s="26"/>
    </row>
    <row r="113" spans="1:4" ht="20.25" x14ac:dyDescent="0.25">
      <c r="A113" s="91"/>
      <c r="B113" s="20"/>
      <c r="C113" s="26"/>
      <c r="D113" s="26"/>
    </row>
    <row r="114" spans="1:4" ht="20.25" x14ac:dyDescent="0.25">
      <c r="A114" s="91"/>
      <c r="B114" s="20"/>
      <c r="C114" s="26"/>
      <c r="D114" s="26"/>
    </row>
    <row r="115" spans="1:4" ht="20.25" x14ac:dyDescent="0.25">
      <c r="A115" s="91"/>
      <c r="B115" s="20"/>
      <c r="C115" s="26"/>
      <c r="D115" s="26"/>
    </row>
    <row r="116" spans="1:4" ht="20.25" x14ac:dyDescent="0.25">
      <c r="A116" s="91"/>
      <c r="B116" s="20"/>
      <c r="C116" s="26"/>
      <c r="D116" s="26"/>
    </row>
    <row r="117" spans="1:4" ht="20.25" x14ac:dyDescent="0.25">
      <c r="A117" s="91"/>
      <c r="B117" s="20"/>
      <c r="C117" s="26"/>
      <c r="D117" s="26"/>
    </row>
    <row r="118" spans="1:4" ht="20.25" x14ac:dyDescent="0.25">
      <c r="A118" s="91"/>
      <c r="B118" s="20"/>
      <c r="C118" s="26"/>
      <c r="D118" s="26"/>
    </row>
    <row r="119" spans="1:4" ht="20.25" x14ac:dyDescent="0.25">
      <c r="A119" s="91"/>
      <c r="B119" s="20"/>
      <c r="C119" s="26"/>
      <c r="D119" s="26"/>
    </row>
    <row r="120" spans="1:4" ht="20.25" x14ac:dyDescent="0.25">
      <c r="A120" s="91"/>
      <c r="B120" s="20"/>
      <c r="C120" s="26"/>
      <c r="D120" s="26"/>
    </row>
    <row r="121" spans="1:4" ht="20.25" x14ac:dyDescent="0.25">
      <c r="A121" s="91"/>
      <c r="B121" s="20"/>
      <c r="C121" s="26"/>
      <c r="D121" s="26"/>
    </row>
    <row r="122" spans="1:4" ht="20.25" x14ac:dyDescent="0.25">
      <c r="A122" s="91"/>
      <c r="B122" s="20"/>
      <c r="C122" s="26"/>
      <c r="D122" s="26"/>
    </row>
    <row r="123" spans="1:4" ht="20.25" x14ac:dyDescent="0.25">
      <c r="A123" s="91"/>
      <c r="B123" s="20"/>
      <c r="C123" s="26"/>
      <c r="D123" s="26"/>
    </row>
    <row r="124" spans="1:4" ht="20.25" x14ac:dyDescent="0.25">
      <c r="A124" s="91"/>
      <c r="B124" s="20"/>
      <c r="C124" s="26"/>
      <c r="D124" s="26"/>
    </row>
    <row r="125" spans="1:4" ht="20.25" x14ac:dyDescent="0.25">
      <c r="A125" s="91"/>
      <c r="B125" s="20"/>
      <c r="C125" s="26"/>
      <c r="D125" s="26"/>
    </row>
    <row r="126" spans="1:4" ht="20.25" x14ac:dyDescent="0.25">
      <c r="A126" s="91"/>
      <c r="B126" s="20"/>
      <c r="C126" s="26"/>
      <c r="D126" s="26"/>
    </row>
    <row r="127" spans="1:4" ht="20.25" x14ac:dyDescent="0.25">
      <c r="A127" s="91"/>
      <c r="B127" s="20"/>
      <c r="C127" s="26"/>
      <c r="D127" s="26"/>
    </row>
    <row r="128" spans="1:4" ht="20.25" x14ac:dyDescent="0.25">
      <c r="A128" s="91"/>
      <c r="B128" s="20"/>
      <c r="C128" s="26"/>
      <c r="D128" s="26"/>
    </row>
    <row r="129" spans="1:4" ht="20.25" x14ac:dyDescent="0.25">
      <c r="A129" s="91"/>
      <c r="B129" s="20"/>
      <c r="C129" s="26"/>
      <c r="D129" s="26"/>
    </row>
    <row r="130" spans="1:4" ht="20.25" x14ac:dyDescent="0.25">
      <c r="A130" s="91"/>
      <c r="B130" s="20"/>
      <c r="C130" s="26"/>
      <c r="D130" s="26"/>
    </row>
    <row r="131" spans="1:4" ht="20.25" x14ac:dyDescent="0.25">
      <c r="A131" s="91"/>
      <c r="B131" s="20"/>
      <c r="C131" s="26"/>
      <c r="D131" s="26"/>
    </row>
    <row r="132" spans="1:4" ht="20.25" x14ac:dyDescent="0.25">
      <c r="A132" s="91"/>
      <c r="B132" s="20"/>
      <c r="C132" s="26"/>
      <c r="D132" s="26"/>
    </row>
    <row r="133" spans="1:4" ht="20.25" x14ac:dyDescent="0.25">
      <c r="A133" s="91"/>
      <c r="B133" s="20"/>
      <c r="C133" s="26"/>
      <c r="D133" s="26"/>
    </row>
    <row r="134" spans="1:4" ht="20.25" x14ac:dyDescent="0.25">
      <c r="A134" s="91"/>
      <c r="B134" s="20"/>
      <c r="C134" s="26"/>
      <c r="D134" s="26"/>
    </row>
    <row r="135" spans="1:4" ht="20.25" x14ac:dyDescent="0.25">
      <c r="A135" s="91"/>
      <c r="B135" s="20"/>
      <c r="C135" s="26"/>
      <c r="D135" s="26"/>
    </row>
    <row r="136" spans="1:4" ht="20.25" x14ac:dyDescent="0.25">
      <c r="A136" s="91"/>
      <c r="B136" s="20"/>
      <c r="C136" s="26"/>
      <c r="D136" s="26"/>
    </row>
    <row r="137" spans="1:4" ht="20.25" x14ac:dyDescent="0.25">
      <c r="A137" s="91"/>
      <c r="B137" s="20"/>
      <c r="C137" s="26"/>
      <c r="D137" s="26"/>
    </row>
    <row r="138" spans="1:4" ht="20.25" x14ac:dyDescent="0.25">
      <c r="A138" s="91"/>
      <c r="B138" s="20"/>
      <c r="C138" s="26"/>
      <c r="D138" s="26"/>
    </row>
    <row r="139" spans="1:4" ht="20.25" x14ac:dyDescent="0.25">
      <c r="A139" s="91"/>
      <c r="B139" s="20"/>
      <c r="C139" s="26"/>
      <c r="D139" s="26"/>
    </row>
    <row r="140" spans="1:4" ht="20.25" x14ac:dyDescent="0.25">
      <c r="A140" s="91"/>
      <c r="B140" s="20"/>
      <c r="C140" s="26"/>
      <c r="D140" s="26"/>
    </row>
    <row r="141" spans="1:4" ht="20.25" x14ac:dyDescent="0.25">
      <c r="A141" s="91"/>
      <c r="B141" s="20"/>
      <c r="C141" s="26"/>
      <c r="D141" s="26"/>
    </row>
    <row r="142" spans="1:4" ht="20.25" x14ac:dyDescent="0.25">
      <c r="A142" s="91"/>
      <c r="B142" s="20"/>
      <c r="C142" s="26"/>
      <c r="D142" s="26"/>
    </row>
    <row r="143" spans="1:4" ht="20.25" x14ac:dyDescent="0.25">
      <c r="A143" s="91"/>
      <c r="B143" s="20"/>
      <c r="C143" s="26"/>
      <c r="D143" s="26"/>
    </row>
    <row r="144" spans="1:4" ht="20.25" x14ac:dyDescent="0.25">
      <c r="A144" s="91"/>
      <c r="B144" s="20"/>
      <c r="C144" s="26"/>
      <c r="D144" s="26"/>
    </row>
    <row r="145" spans="1:4" ht="20.25" x14ac:dyDescent="0.25">
      <c r="A145" s="91"/>
      <c r="B145" s="20"/>
      <c r="C145" s="26"/>
      <c r="D145" s="26"/>
    </row>
    <row r="146" spans="1:4" ht="20.25" x14ac:dyDescent="0.25">
      <c r="A146" s="91"/>
      <c r="B146" s="20"/>
      <c r="C146" s="26"/>
      <c r="D146" s="26"/>
    </row>
    <row r="147" spans="1:4" ht="20.25" x14ac:dyDescent="0.25">
      <c r="A147" s="91"/>
      <c r="B147" s="20"/>
      <c r="C147" s="26"/>
      <c r="D147" s="26"/>
    </row>
    <row r="148" spans="1:4" ht="20.25" x14ac:dyDescent="0.25">
      <c r="A148" s="91"/>
      <c r="B148" s="20"/>
      <c r="C148" s="26"/>
      <c r="D148" s="26"/>
    </row>
    <row r="149" spans="1:4" ht="20.25" x14ac:dyDescent="0.25">
      <c r="A149" s="91"/>
      <c r="B149" s="20"/>
      <c r="C149" s="26"/>
      <c r="D149" s="26"/>
    </row>
    <row r="150" spans="1:4" ht="20.25" x14ac:dyDescent="0.25">
      <c r="A150" s="91"/>
      <c r="B150" s="20"/>
      <c r="C150" s="26"/>
      <c r="D150" s="26"/>
    </row>
    <row r="151" spans="1:4" ht="20.25" x14ac:dyDescent="0.25">
      <c r="A151" s="91"/>
      <c r="B151" s="20"/>
      <c r="C151" s="26"/>
      <c r="D151" s="26"/>
    </row>
    <row r="152" spans="1:4" ht="20.25" x14ac:dyDescent="0.25">
      <c r="A152" s="91"/>
      <c r="B152" s="20"/>
      <c r="C152" s="26"/>
      <c r="D152" s="26"/>
    </row>
    <row r="153" spans="1:4" ht="20.25" x14ac:dyDescent="0.25">
      <c r="A153" s="91"/>
      <c r="B153" s="20"/>
      <c r="C153" s="26"/>
      <c r="D153" s="26"/>
    </row>
    <row r="154" spans="1:4" ht="20.25" x14ac:dyDescent="0.25">
      <c r="A154" s="91"/>
      <c r="B154" s="20"/>
      <c r="C154" s="26"/>
      <c r="D154" s="26"/>
    </row>
    <row r="155" spans="1:4" ht="20.25" x14ac:dyDescent="0.25">
      <c r="A155" s="91"/>
      <c r="B155" s="20"/>
      <c r="C155" s="26"/>
      <c r="D155" s="26"/>
    </row>
    <row r="156" spans="1:4" ht="20.25" x14ac:dyDescent="0.25">
      <c r="A156" s="91"/>
      <c r="B156" s="20"/>
      <c r="C156" s="26"/>
      <c r="D156" s="26"/>
    </row>
    <row r="157" spans="1:4" ht="20.25" x14ac:dyDescent="0.25">
      <c r="A157" s="91"/>
      <c r="B157" s="20"/>
      <c r="C157" s="26"/>
      <c r="D157" s="26"/>
    </row>
    <row r="158" spans="1:4" ht="20.25" x14ac:dyDescent="0.25">
      <c r="A158" s="91"/>
      <c r="B158" s="20"/>
      <c r="C158" s="26"/>
      <c r="D158" s="26"/>
    </row>
    <row r="159" spans="1:4" ht="20.25" x14ac:dyDescent="0.25">
      <c r="A159" s="91"/>
      <c r="B159" s="20"/>
      <c r="C159" s="26"/>
      <c r="D159" s="26"/>
    </row>
    <row r="160" spans="1:4" ht="20.25" x14ac:dyDescent="0.25">
      <c r="A160" s="91"/>
      <c r="B160" s="20"/>
      <c r="C160" s="26"/>
      <c r="D160" s="26"/>
    </row>
    <row r="161" spans="1:4" ht="20.25" x14ac:dyDescent="0.25">
      <c r="A161" s="91"/>
      <c r="B161" s="20"/>
      <c r="C161" s="26"/>
      <c r="D161" s="26"/>
    </row>
    <row r="162" spans="1:4" ht="20.25" x14ac:dyDescent="0.25">
      <c r="A162" s="91"/>
      <c r="B162" s="20"/>
      <c r="C162" s="26"/>
      <c r="D162" s="26"/>
    </row>
    <row r="163" spans="1:4" ht="20.25" x14ac:dyDescent="0.25">
      <c r="A163" s="91"/>
      <c r="B163" s="20"/>
      <c r="C163" s="26"/>
      <c r="D163" s="26"/>
    </row>
    <row r="164" spans="1:4" ht="20.25" x14ac:dyDescent="0.25">
      <c r="A164" s="91"/>
      <c r="B164" s="20"/>
      <c r="C164" s="26"/>
      <c r="D164" s="26"/>
    </row>
    <row r="165" spans="1:4" ht="20.25" x14ac:dyDescent="0.25">
      <c r="A165" s="91"/>
      <c r="B165" s="20"/>
      <c r="C165" s="26"/>
      <c r="D165" s="26"/>
    </row>
    <row r="166" spans="1:4" ht="20.25" x14ac:dyDescent="0.25">
      <c r="A166" s="91"/>
      <c r="B166" s="20"/>
      <c r="C166" s="26"/>
      <c r="D166" s="26"/>
    </row>
    <row r="167" spans="1:4" ht="20.25" x14ac:dyDescent="0.25">
      <c r="A167" s="91"/>
      <c r="B167" s="20"/>
      <c r="C167" s="26"/>
      <c r="D167" s="26"/>
    </row>
    <row r="168" spans="1:4" ht="20.25" x14ac:dyDescent="0.25">
      <c r="A168" s="91"/>
      <c r="B168" s="20"/>
      <c r="C168" s="26"/>
      <c r="D168" s="26"/>
    </row>
    <row r="169" spans="1:4" ht="20.25" x14ac:dyDescent="0.25">
      <c r="A169" s="91"/>
      <c r="B169" s="20"/>
      <c r="C169" s="26"/>
      <c r="D169" s="26"/>
    </row>
    <row r="170" spans="1:4" ht="20.25" x14ac:dyDescent="0.25">
      <c r="A170" s="91"/>
      <c r="B170" s="20"/>
      <c r="C170" s="26"/>
      <c r="D170" s="26"/>
    </row>
    <row r="171" spans="1:4" ht="20.25" x14ac:dyDescent="0.25">
      <c r="A171" s="91"/>
      <c r="B171" s="20"/>
      <c r="C171" s="26"/>
      <c r="D171" s="26"/>
    </row>
    <row r="172" spans="1:4" ht="20.25" x14ac:dyDescent="0.25">
      <c r="A172" s="91"/>
      <c r="B172" s="20"/>
      <c r="C172" s="26"/>
      <c r="D172" s="26"/>
    </row>
    <row r="173" spans="1:4" ht="20.25" x14ac:dyDescent="0.25">
      <c r="A173" s="91"/>
      <c r="B173" s="20"/>
      <c r="C173" s="26"/>
      <c r="D173" s="26"/>
    </row>
    <row r="174" spans="1:4" ht="20.25" x14ac:dyDescent="0.25">
      <c r="A174" s="91"/>
      <c r="B174" s="20"/>
      <c r="C174" s="26"/>
      <c r="D174" s="26"/>
    </row>
    <row r="175" spans="1:4" ht="20.25" x14ac:dyDescent="0.25">
      <c r="A175" s="91"/>
      <c r="B175" s="20"/>
      <c r="C175" s="26"/>
      <c r="D175" s="26"/>
    </row>
    <row r="176" spans="1:4" ht="20.25" x14ac:dyDescent="0.25">
      <c r="A176" s="91"/>
      <c r="B176" s="20"/>
      <c r="C176" s="26"/>
      <c r="D176" s="26"/>
    </row>
    <row r="177" spans="1:4" ht="20.25" x14ac:dyDescent="0.25">
      <c r="A177" s="91"/>
      <c r="B177" s="20"/>
      <c r="C177" s="26"/>
      <c r="D177" s="26"/>
    </row>
    <row r="178" spans="1:4" ht="20.25" x14ac:dyDescent="0.25">
      <c r="A178" s="91"/>
      <c r="B178" s="20"/>
      <c r="C178" s="26"/>
      <c r="D178" s="26"/>
    </row>
    <row r="179" spans="1:4" ht="20.25" x14ac:dyDescent="0.25">
      <c r="A179" s="91"/>
      <c r="B179" s="20"/>
      <c r="C179" s="26"/>
      <c r="D179" s="26"/>
    </row>
    <row r="180" spans="1:4" ht="20.25" x14ac:dyDescent="0.25">
      <c r="A180" s="91"/>
      <c r="B180" s="20"/>
      <c r="C180" s="26"/>
      <c r="D180" s="26"/>
    </row>
    <row r="181" spans="1:4" ht="20.25" x14ac:dyDescent="0.25">
      <c r="A181" s="91"/>
      <c r="B181" s="20"/>
      <c r="C181" s="26"/>
      <c r="D181" s="26"/>
    </row>
    <row r="182" spans="1:4" ht="20.25" x14ac:dyDescent="0.25">
      <c r="A182" s="91"/>
      <c r="B182" s="20"/>
      <c r="C182" s="26"/>
      <c r="D182" s="26"/>
    </row>
    <row r="183" spans="1:4" ht="20.25" x14ac:dyDescent="0.25">
      <c r="A183" s="91"/>
      <c r="B183" s="20"/>
      <c r="C183" s="26"/>
      <c r="D183" s="26"/>
    </row>
    <row r="184" spans="1:4" ht="20.25" x14ac:dyDescent="0.25">
      <c r="A184" s="91"/>
      <c r="B184" s="20"/>
      <c r="C184" s="26"/>
      <c r="D184" s="26"/>
    </row>
    <row r="185" spans="1:4" ht="20.25" x14ac:dyDescent="0.25">
      <c r="A185" s="91"/>
      <c r="B185" s="20"/>
      <c r="C185" s="26"/>
      <c r="D185" s="26"/>
    </row>
    <row r="186" spans="1:4" ht="20.25" x14ac:dyDescent="0.25">
      <c r="A186" s="91"/>
      <c r="B186" s="20"/>
      <c r="C186" s="26"/>
      <c r="D186" s="26"/>
    </row>
    <row r="187" spans="1:4" ht="20.25" x14ac:dyDescent="0.25">
      <c r="A187" s="91"/>
      <c r="B187" s="20"/>
      <c r="C187" s="26"/>
      <c r="D187" s="26"/>
    </row>
    <row r="188" spans="1:4" ht="20.25" x14ac:dyDescent="0.25">
      <c r="A188" s="91"/>
      <c r="B188" s="20"/>
      <c r="C188" s="26"/>
      <c r="D188" s="26"/>
    </row>
    <row r="189" spans="1:4" ht="20.25" x14ac:dyDescent="0.25">
      <c r="A189" s="91"/>
      <c r="B189" s="20"/>
      <c r="C189" s="26"/>
      <c r="D189" s="26"/>
    </row>
    <row r="190" spans="1:4" ht="20.25" x14ac:dyDescent="0.25">
      <c r="A190" s="91"/>
      <c r="B190" s="20"/>
      <c r="C190" s="26"/>
      <c r="D190" s="26"/>
    </row>
    <row r="191" spans="1:4" ht="20.25" x14ac:dyDescent="0.25">
      <c r="A191" s="91"/>
      <c r="B191" s="20"/>
      <c r="C191" s="26"/>
      <c r="D191" s="26"/>
    </row>
    <row r="192" spans="1:4" ht="20.25" x14ac:dyDescent="0.25">
      <c r="A192" s="91"/>
      <c r="B192" s="20"/>
      <c r="C192" s="26"/>
      <c r="D192" s="26"/>
    </row>
    <row r="193" spans="1:4" ht="20.25" x14ac:dyDescent="0.25">
      <c r="A193" s="91"/>
      <c r="B193" s="20"/>
      <c r="C193" s="26"/>
      <c r="D193" s="26"/>
    </row>
    <row r="194" spans="1:4" ht="20.25" x14ac:dyDescent="0.25">
      <c r="A194" s="91"/>
      <c r="B194" s="20"/>
      <c r="C194" s="26"/>
      <c r="D194" s="26"/>
    </row>
    <row r="195" spans="1:4" ht="20.25" x14ac:dyDescent="0.25">
      <c r="A195" s="91"/>
      <c r="B195" s="20"/>
      <c r="C195" s="26"/>
      <c r="D195" s="26"/>
    </row>
    <row r="196" spans="1:4" ht="20.25" x14ac:dyDescent="0.25">
      <c r="A196" s="91"/>
      <c r="B196" s="20"/>
      <c r="C196" s="26"/>
      <c r="D196" s="26"/>
    </row>
    <row r="197" spans="1:4" ht="20.25" x14ac:dyDescent="0.25">
      <c r="A197" s="91"/>
      <c r="B197" s="20"/>
      <c r="C197" s="26"/>
      <c r="D197" s="26"/>
    </row>
    <row r="198" spans="1:4" ht="20.25" x14ac:dyDescent="0.25">
      <c r="A198" s="91"/>
      <c r="B198" s="20"/>
      <c r="C198" s="26"/>
      <c r="D198" s="26"/>
    </row>
    <row r="199" spans="1:4" ht="20.25" x14ac:dyDescent="0.25">
      <c r="A199" s="91"/>
      <c r="B199" s="20"/>
      <c r="C199" s="26"/>
      <c r="D199" s="26"/>
    </row>
    <row r="200" spans="1:4" ht="20.25" x14ac:dyDescent="0.25">
      <c r="A200" s="91"/>
      <c r="B200" s="20"/>
      <c r="C200" s="26"/>
      <c r="D200" s="26"/>
    </row>
    <row r="201" spans="1:4" ht="20.25" x14ac:dyDescent="0.25">
      <c r="A201" s="91"/>
      <c r="B201" s="20"/>
      <c r="C201" s="26"/>
      <c r="D201" s="26"/>
    </row>
    <row r="202" spans="1:4" ht="20.25" x14ac:dyDescent="0.25">
      <c r="A202" s="91"/>
      <c r="B202" s="20"/>
      <c r="C202" s="26"/>
      <c r="D202" s="26"/>
    </row>
    <row r="203" spans="1:4" ht="20.25" x14ac:dyDescent="0.25">
      <c r="A203" s="91"/>
      <c r="B203" s="20"/>
      <c r="C203" s="26"/>
      <c r="D203" s="26"/>
    </row>
    <row r="204" spans="1:4" ht="20.25" x14ac:dyDescent="0.25">
      <c r="A204" s="91"/>
      <c r="B204" s="20"/>
      <c r="C204" s="26"/>
      <c r="D204" s="26"/>
    </row>
    <row r="205" spans="1:4" ht="20.25" x14ac:dyDescent="0.25">
      <c r="A205" s="91"/>
      <c r="B205" s="20"/>
      <c r="C205" s="26"/>
      <c r="D205" s="26"/>
    </row>
    <row r="206" spans="1:4" ht="20.25" x14ac:dyDescent="0.25">
      <c r="A206" s="91"/>
      <c r="B206" s="20"/>
      <c r="C206" s="26"/>
      <c r="D206" s="26"/>
    </row>
    <row r="207" spans="1:4" ht="20.25" x14ac:dyDescent="0.25">
      <c r="A207" s="91"/>
      <c r="B207" s="20"/>
      <c r="C207" s="26"/>
      <c r="D207" s="26"/>
    </row>
    <row r="208" spans="1:4" x14ac:dyDescent="0.25">
      <c r="A208" s="75"/>
      <c r="B208" s="20"/>
      <c r="C208" s="20"/>
      <c r="D208" s="20"/>
    </row>
    <row r="209" spans="1:8" ht="20.25" x14ac:dyDescent="0.25">
      <c r="A209" s="75"/>
      <c r="B209" s="22" t="s">
        <v>228</v>
      </c>
      <c r="C209" s="22" t="s">
        <v>229</v>
      </c>
      <c r="D209" s="25" t="s">
        <v>228</v>
      </c>
      <c r="E209" s="25" t="s">
        <v>229</v>
      </c>
    </row>
    <row r="210" spans="1:8" ht="21" x14ac:dyDescent="0.35">
      <c r="A210" s="75"/>
      <c r="B210" s="23" t="s">
        <v>230</v>
      </c>
      <c r="C210" s="23" t="s">
        <v>231</v>
      </c>
      <c r="D210" t="s">
        <v>230</v>
      </c>
      <c r="F210" t="str">
        <f>IF(NOT(ISBLANK(D210)),D210,IF(NOT(ISBLANK(E210)),"     "&amp;E210,FALSE))</f>
        <v>Afectación Económica o presupuestal</v>
      </c>
      <c r="G210" t="s">
        <v>230</v>
      </c>
      <c r="H210" t="str">
        <f>IF(NOT(ISERROR(MATCH(G210,_xlfn.ANCHORARRAY(B221),0))),F223&amp;"Por favor no seleccionar los criterios de impacto",G210)</f>
        <v>❌Por favor no seleccionar los criterios de impacto</v>
      </c>
    </row>
    <row r="211" spans="1:8" ht="21" x14ac:dyDescent="0.35">
      <c r="A211" s="75"/>
      <c r="B211" s="23" t="s">
        <v>230</v>
      </c>
      <c r="C211" s="23" t="s">
        <v>206</v>
      </c>
      <c r="E211" t="s">
        <v>231</v>
      </c>
      <c r="F211" t="str">
        <f t="shared" ref="F211:F221" si="0">IF(NOT(ISBLANK(D211)),D211,IF(NOT(ISBLANK(E211)),"     "&amp;E211,FALSE))</f>
        <v xml:space="preserve">     Afectación menor a 10 SMLMV .</v>
      </c>
    </row>
    <row r="212" spans="1:8" ht="21" x14ac:dyDescent="0.35">
      <c r="A212" s="75"/>
      <c r="B212" s="23" t="s">
        <v>230</v>
      </c>
      <c r="C212" s="23" t="s">
        <v>209</v>
      </c>
      <c r="E212" t="s">
        <v>206</v>
      </c>
      <c r="F212" t="str">
        <f t="shared" si="0"/>
        <v xml:space="preserve">     Entre 10 y 50 SMLMV </v>
      </c>
    </row>
    <row r="213" spans="1:8" ht="21" x14ac:dyDescent="0.35">
      <c r="A213" s="75"/>
      <c r="B213" s="23" t="s">
        <v>230</v>
      </c>
      <c r="C213" s="23" t="s">
        <v>213</v>
      </c>
      <c r="E213" t="s">
        <v>209</v>
      </c>
      <c r="F213" t="str">
        <f t="shared" si="0"/>
        <v xml:space="preserve">     Entre 50 y 100 SMLMV </v>
      </c>
    </row>
    <row r="214" spans="1:8" ht="21" x14ac:dyDescent="0.35">
      <c r="A214" s="75"/>
      <c r="B214" s="23" t="s">
        <v>230</v>
      </c>
      <c r="C214" s="23" t="s">
        <v>217</v>
      </c>
      <c r="E214" t="s">
        <v>213</v>
      </c>
      <c r="F214" t="str">
        <f t="shared" si="0"/>
        <v xml:space="preserve">     Entre 100 y 500 SMLMV </v>
      </c>
    </row>
    <row r="215" spans="1:8" ht="21" x14ac:dyDescent="0.35">
      <c r="A215" s="75"/>
      <c r="B215" s="23" t="s">
        <v>199</v>
      </c>
      <c r="C215" s="23" t="s">
        <v>203</v>
      </c>
      <c r="E215" t="s">
        <v>217</v>
      </c>
      <c r="F215" t="str">
        <f t="shared" si="0"/>
        <v xml:space="preserve">     Mayor a 500 SMLMV </v>
      </c>
    </row>
    <row r="216" spans="1:8" ht="21" x14ac:dyDescent="0.35">
      <c r="A216" s="75"/>
      <c r="B216" s="23" t="s">
        <v>199</v>
      </c>
      <c r="C216" s="23" t="s">
        <v>207</v>
      </c>
      <c r="D216" t="s">
        <v>199</v>
      </c>
      <c r="F216" t="str">
        <f t="shared" si="0"/>
        <v>Pérdida Reputacional</v>
      </c>
    </row>
    <row r="217" spans="1:8" ht="21" x14ac:dyDescent="0.35">
      <c r="A217" s="75"/>
      <c r="B217" s="23" t="s">
        <v>199</v>
      </c>
      <c r="C217" s="23" t="s">
        <v>210</v>
      </c>
      <c r="E217" t="s">
        <v>203</v>
      </c>
      <c r="F217" t="str">
        <f t="shared" si="0"/>
        <v xml:space="preserve">     El riesgo afecta la imagen de alguna área de la organización</v>
      </c>
    </row>
    <row r="218" spans="1:8" ht="21" x14ac:dyDescent="0.35">
      <c r="A218" s="75"/>
      <c r="B218" s="23" t="s">
        <v>199</v>
      </c>
      <c r="C218" s="23" t="s">
        <v>232</v>
      </c>
      <c r="E218" t="s">
        <v>207</v>
      </c>
      <c r="F218" t="str">
        <f t="shared" si="0"/>
        <v xml:space="preserve">     El riesgo afecta la imagen de la entidad internamente, de conocimiento general, nivel interno, de junta dircetiva y accionistas y/o de provedores</v>
      </c>
    </row>
    <row r="219" spans="1:8" ht="21" x14ac:dyDescent="0.35">
      <c r="A219" s="75"/>
      <c r="B219" s="23" t="s">
        <v>199</v>
      </c>
      <c r="C219" s="23" t="s">
        <v>218</v>
      </c>
      <c r="E219" t="s">
        <v>210</v>
      </c>
      <c r="F219" t="str">
        <f t="shared" si="0"/>
        <v xml:space="preserve">     El riesgo afecta la imagen de la entidad con algunos usuarios de relevancia frente al logro de los objetivos</v>
      </c>
    </row>
    <row r="220" spans="1:8" x14ac:dyDescent="0.25">
      <c r="A220" s="75"/>
      <c r="B220" s="24"/>
      <c r="C220" s="24"/>
      <c r="E220" t="s">
        <v>232</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218</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233</v>
      </c>
    </row>
    <row r="224" spans="1:8" x14ac:dyDescent="0.25">
      <c r="B224" s="19"/>
      <c r="C224" s="19"/>
      <c r="F224" s="27" t="s">
        <v>234</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95" t="s">
        <v>235</v>
      </c>
      <c r="C1" s="396"/>
      <c r="D1" s="396"/>
      <c r="E1" s="396"/>
      <c r="F1" s="397"/>
    </row>
    <row r="2" spans="2:6" ht="16.5" thickBot="1" x14ac:dyDescent="0.3">
      <c r="B2" s="81"/>
      <c r="C2" s="81"/>
      <c r="D2" s="81"/>
      <c r="E2" s="81"/>
      <c r="F2" s="81"/>
    </row>
    <row r="3" spans="2:6" ht="16.5" thickBot="1" x14ac:dyDescent="0.25">
      <c r="B3" s="399" t="s">
        <v>236</v>
      </c>
      <c r="C3" s="400"/>
      <c r="D3" s="400"/>
      <c r="E3" s="184" t="s">
        <v>237</v>
      </c>
      <c r="F3" s="90" t="s">
        <v>238</v>
      </c>
    </row>
    <row r="4" spans="2:6" ht="31.5" x14ac:dyDescent="0.2">
      <c r="B4" s="401" t="s">
        <v>239</v>
      </c>
      <c r="C4" s="403" t="s">
        <v>76</v>
      </c>
      <c r="D4" s="185" t="s">
        <v>112</v>
      </c>
      <c r="E4" s="82" t="s">
        <v>240</v>
      </c>
      <c r="F4" s="83">
        <v>0.25</v>
      </c>
    </row>
    <row r="5" spans="2:6" ht="47.25" x14ac:dyDescent="0.2">
      <c r="B5" s="402"/>
      <c r="C5" s="404"/>
      <c r="D5" s="186" t="s">
        <v>241</v>
      </c>
      <c r="E5" s="84" t="s">
        <v>242</v>
      </c>
      <c r="F5" s="85">
        <v>0.15</v>
      </c>
    </row>
    <row r="6" spans="2:6" ht="47.25" x14ac:dyDescent="0.2">
      <c r="B6" s="402"/>
      <c r="C6" s="404"/>
      <c r="D6" s="186" t="s">
        <v>243</v>
      </c>
      <c r="E6" s="84" t="s">
        <v>244</v>
      </c>
      <c r="F6" s="85">
        <v>0.1</v>
      </c>
    </row>
    <row r="7" spans="2:6" ht="63" x14ac:dyDescent="0.2">
      <c r="B7" s="402"/>
      <c r="C7" s="404" t="s">
        <v>99</v>
      </c>
      <c r="D7" s="186" t="s">
        <v>245</v>
      </c>
      <c r="E7" s="84" t="s">
        <v>246</v>
      </c>
      <c r="F7" s="85">
        <v>0.25</v>
      </c>
    </row>
    <row r="8" spans="2:6" ht="31.5" x14ac:dyDescent="0.2">
      <c r="B8" s="402"/>
      <c r="C8" s="404"/>
      <c r="D8" s="186" t="s">
        <v>113</v>
      </c>
      <c r="E8" s="84" t="s">
        <v>247</v>
      </c>
      <c r="F8" s="85">
        <v>0.15</v>
      </c>
    </row>
    <row r="9" spans="2:6" ht="47.25" x14ac:dyDescent="0.2">
      <c r="B9" s="402" t="s">
        <v>248</v>
      </c>
      <c r="C9" s="404" t="s">
        <v>101</v>
      </c>
      <c r="D9" s="186" t="s">
        <v>114</v>
      </c>
      <c r="E9" s="84" t="s">
        <v>249</v>
      </c>
      <c r="F9" s="86" t="s">
        <v>250</v>
      </c>
    </row>
    <row r="10" spans="2:6" ht="63" x14ac:dyDescent="0.2">
      <c r="B10" s="402"/>
      <c r="C10" s="404"/>
      <c r="D10" s="186" t="s">
        <v>251</v>
      </c>
      <c r="E10" s="84" t="s">
        <v>252</v>
      </c>
      <c r="F10" s="86" t="s">
        <v>250</v>
      </c>
    </row>
    <row r="11" spans="2:6" ht="47.25" x14ac:dyDescent="0.2">
      <c r="B11" s="402"/>
      <c r="C11" s="404" t="s">
        <v>102</v>
      </c>
      <c r="D11" s="186" t="s">
        <v>115</v>
      </c>
      <c r="E11" s="84" t="s">
        <v>253</v>
      </c>
      <c r="F11" s="86" t="s">
        <v>250</v>
      </c>
    </row>
    <row r="12" spans="2:6" ht="47.25" x14ac:dyDescent="0.2">
      <c r="B12" s="402"/>
      <c r="C12" s="404"/>
      <c r="D12" s="186" t="s">
        <v>126</v>
      </c>
      <c r="E12" s="84" t="s">
        <v>254</v>
      </c>
      <c r="F12" s="86" t="s">
        <v>250</v>
      </c>
    </row>
    <row r="13" spans="2:6" ht="31.5" x14ac:dyDescent="0.2">
      <c r="B13" s="402"/>
      <c r="C13" s="404" t="s">
        <v>103</v>
      </c>
      <c r="D13" s="186" t="s">
        <v>116</v>
      </c>
      <c r="E13" s="84" t="s">
        <v>255</v>
      </c>
      <c r="F13" s="86" t="s">
        <v>250</v>
      </c>
    </row>
    <row r="14" spans="2:6" ht="32.25" thickBot="1" x14ac:dyDescent="0.25">
      <c r="B14" s="405"/>
      <c r="C14" s="406"/>
      <c r="D14" s="187" t="s">
        <v>256</v>
      </c>
      <c r="E14" s="87" t="s">
        <v>257</v>
      </c>
      <c r="F14" s="88" t="s">
        <v>250</v>
      </c>
    </row>
    <row r="15" spans="2:6" ht="49.5" customHeight="1" x14ac:dyDescent="0.2">
      <c r="B15" s="398" t="s">
        <v>258</v>
      </c>
      <c r="C15" s="398"/>
      <c r="D15" s="398"/>
      <c r="E15" s="398"/>
      <c r="F15" s="398"/>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259</v>
      </c>
      <c r="E2" t="s">
        <v>260</v>
      </c>
    </row>
    <row r="3" spans="2:5" x14ac:dyDescent="0.25">
      <c r="B3" t="s">
        <v>261</v>
      </c>
      <c r="E3" t="s">
        <v>141</v>
      </c>
    </row>
    <row r="4" spans="2:5" x14ac:dyDescent="0.25">
      <c r="B4" t="s">
        <v>262</v>
      </c>
      <c r="E4" t="s">
        <v>106</v>
      </c>
    </row>
    <row r="5" spans="2:5" x14ac:dyDescent="0.25">
      <c r="B5" t="s">
        <v>117</v>
      </c>
    </row>
    <row r="8" spans="2:5" x14ac:dyDescent="0.25">
      <c r="B8" t="s">
        <v>263</v>
      </c>
    </row>
    <row r="9" spans="2:5" x14ac:dyDescent="0.25">
      <c r="B9" t="s">
        <v>264</v>
      </c>
    </row>
    <row r="10" spans="2:5" x14ac:dyDescent="0.25">
      <c r="B10" t="s">
        <v>122</v>
      </c>
    </row>
    <row r="13" spans="2:5" x14ac:dyDescent="0.25">
      <c r="B13" t="s">
        <v>265</v>
      </c>
    </row>
    <row r="14" spans="2:5" x14ac:dyDescent="0.25">
      <c r="B14" t="s">
        <v>125</v>
      </c>
    </row>
    <row r="15" spans="2:5" x14ac:dyDescent="0.25">
      <c r="B15" t="s">
        <v>266</v>
      </c>
    </row>
    <row r="16" spans="2:5" x14ac:dyDescent="0.25">
      <c r="B16" t="s">
        <v>267</v>
      </c>
    </row>
    <row r="17" spans="2:2" x14ac:dyDescent="0.25">
      <c r="B17" t="s">
        <v>108</v>
      </c>
    </row>
    <row r="18" spans="2:2" x14ac:dyDescent="0.25">
      <c r="B18" t="s">
        <v>268</v>
      </c>
    </row>
    <row r="19" spans="2:2" x14ac:dyDescent="0.25">
      <c r="B19" t="s">
        <v>134</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E7B296-D478-4ADE-95BA-B797A31ECDD4}">
  <ds:schemaRefs>
    <ds:schemaRef ds:uri="http://schemas.microsoft.com/office/2006/documentManagement/types"/>
    <ds:schemaRef ds:uri="ab6efe54-1113-4d03-9a9b-53d2d06840d9"/>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43b5c514-35a4-416e-aff7-df25cf72a503"/>
    <ds:schemaRef ds:uri="http://www.w3.org/XML/1998/namespace"/>
    <ds:schemaRef ds:uri="http://purl.org/dc/elements/1.1/"/>
  </ds:schemaRefs>
</ds:datastoreItem>
</file>

<file path=customXml/itemProps2.xml><?xml version="1.0" encoding="utf-8"?>
<ds:datastoreItem xmlns:ds="http://schemas.openxmlformats.org/officeDocument/2006/customXml" ds:itemID="{610EE3D8-0098-4DAD-B8F5-5D4E98ECF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F961C-9900-4BD9-9A9A-31E6E74AE1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Marcela Cordoba Vargas</cp:lastModifiedBy>
  <cp:revision/>
  <dcterms:created xsi:type="dcterms:W3CDTF">2020-03-24T23:12:47Z</dcterms:created>
  <dcterms:modified xsi:type="dcterms:W3CDTF">2022-12-13T21:29:53Z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