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42" documentId="11_A3C662A685C30F4D332CE6E2D6FFB4EE75005CB8" xr6:coauthVersionLast="47" xr6:coauthVersionMax="47" xr10:uidLastSave="{4C0BDE0C-3650-45D3-BB11-DDEC5CD8F114}"/>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5"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5" i="1" l="1"/>
  <c r="AE16" i="1"/>
  <c r="AE15" i="1"/>
  <c r="AD15" i="1" s="1"/>
  <c r="Y16" i="1"/>
  <c r="V16" i="1"/>
  <c r="AG16" i="1" s="1"/>
  <c r="Y15" i="1"/>
  <c r="V15" i="1"/>
  <c r="AG15" i="1" s="1"/>
  <c r="AF15" i="1" s="1"/>
  <c r="R15" i="1"/>
  <c r="Q15" i="1"/>
  <c r="M15" i="1"/>
  <c r="Y14" i="1"/>
  <c r="V14" i="1"/>
  <c r="O14" i="1"/>
  <c r="P14" i="1" s="1"/>
  <c r="L14" i="1"/>
  <c r="M14" i="1" s="1"/>
  <c r="Y13" i="1"/>
  <c r="V13" i="1"/>
  <c r="O13" i="1"/>
  <c r="P13" i="1" s="1"/>
  <c r="L13" i="1"/>
  <c r="M13" i="1" s="1"/>
  <c r="Y12" i="1"/>
  <c r="V12" i="1"/>
  <c r="Y11" i="1"/>
  <c r="V11" i="1"/>
  <c r="O11" i="1"/>
  <c r="P11" i="1" s="1"/>
  <c r="Q11" i="1" s="1"/>
  <c r="L11" i="1"/>
  <c r="L21" i="1"/>
  <c r="O12" i="1"/>
  <c r="R13" i="1" l="1"/>
  <c r="Q13" i="1"/>
  <c r="AG13" i="1" s="1"/>
  <c r="AF13" i="1" s="1"/>
  <c r="AC14" i="1"/>
  <c r="AC13" i="1"/>
  <c r="Q14" i="1"/>
  <c r="AG14" i="1" s="1"/>
  <c r="AF14" i="1" s="1"/>
  <c r="R14" i="1"/>
  <c r="AG11" i="1"/>
  <c r="AF11" i="1" s="1"/>
  <c r="R11" i="1"/>
  <c r="M11" i="1"/>
  <c r="AC11" i="1" s="1"/>
  <c r="AG12" i="1" l="1"/>
  <c r="AF12" i="1" s="1"/>
  <c r="AD13" i="1"/>
  <c r="AH13" i="1" s="1"/>
  <c r="AE13" i="1"/>
  <c r="AE14" i="1"/>
  <c r="AD14" i="1"/>
  <c r="AH14" i="1" s="1"/>
  <c r="AE11" i="1"/>
  <c r="AC12" i="1" s="1"/>
  <c r="AD11" i="1"/>
  <c r="AH11" i="1" s="1"/>
  <c r="F221" i="13"/>
  <c r="F211" i="13"/>
  <c r="F212" i="13"/>
  <c r="F213" i="13"/>
  <c r="F214" i="13"/>
  <c r="F215" i="13"/>
  <c r="F216" i="13"/>
  <c r="F217" i="13"/>
  <c r="F218" i="13"/>
  <c r="F219" i="13"/>
  <c r="F220" i="13"/>
  <c r="F210" i="13"/>
  <c r="B221" i="13" a="1"/>
  <c r="AD12" i="1" l="1"/>
  <c r="AH12" i="1" s="1"/>
  <c r="AE12" i="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<sst xmlns="http://schemas.openxmlformats.org/spreadsheetml/2006/main" count="495" uniqueCount="306">
  <si>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</si>
  <si>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</si>
  <si>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</si>
  <si>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</si>
  <si>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</si>
  <si>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</si>
  <si>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</si>
  <si>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</si>
  <si>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</si>
  <si>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</si>
  <si>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</si>
  <si>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</si>
  <si>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</si>
  <si>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</si>
  <si>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</si>
  <si>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</si>
  <si>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</si>
  <si>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</si>
  <si>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</si>
  <si>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</si>
  <si>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</si>
  <si>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</si>
  <si>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</si>
  <si>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</si>
  <si>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</si>
  <si>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</si>
  <si>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</si>
  <si>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</si>
  <si>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</si>
  <si>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</si>
  <si>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</si>
  <si>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</si>
  <si>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</si>
  <si>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</si>
  <si>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</si>
  <si>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</si>
  <si>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</si>
  <si>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</si>
  <si>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</si>
  <si>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</si>
  <si>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</si>
  <si>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</si>
  <si>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</si>
  <si>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</si>
  <si>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</si>
  <si>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</si>
  <si>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</si>
  <si>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</si>
  <si>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</si>
  <si>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</si>
  <si>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</si>
  <si>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</si>
  <si>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</si>
  <si>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</si>
  <si>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</si>
  <si>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</si>
  <si>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</si>
  <si>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</si>
  <si>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</si>
  <si>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</si>
  <si>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</si>
  <si>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</si>
  <si>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</si>
  <si>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</si>
  <si>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</si>
  <si>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</si>
  <si>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</si>
  <si>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</si>
  <si>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</si>
  <si>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</si>
  <si>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</si>
  <si>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</si>
  <si>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</si>
  <si>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</si>
  <si>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</si>
  <si>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</si>
  <si>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</si>
  <si>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</si>
  <si>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</si>
  <si>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</si>
  <si>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</si>
  <si>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</si>
  <si>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</si>
  <si>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</si>
  <si>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</si>
  <si>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</si>
  <si>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</si>
  <si>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</si>
  <si>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</si>
  <si>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</si>
  <si>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</si>
  <si>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</si>
  <si>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</si>
  <si>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</si>
  <si>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</si>
  <si>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</si>
  <si>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</si>
  <si>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</si>
  <si>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</si>
  <si>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</si>
  <si>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</si>
  <si>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</si>
  <si>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</si>
  <si>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</si>
  <si>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</si>
  <si>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</si>
  <si>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</si>
  <si>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</si>
  <si>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</si>
  <si>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</si>
  <si>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</si>
  <si>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</si>
  <si>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</si>
  <si>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</si>
  <si>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</si>
  <si>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</si>
  <si>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</si>
  <si>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</si>
  <si>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</si>
  <si>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</si>
  <si>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</si>
  <si>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</si>
  <si>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</si>
  <si>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</si>
  <si>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</si>
  <si>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</si>
  <si>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</si>
  <si>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</si>
  <si>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</si>
  <si>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</si>
  <si>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</si>
  <si>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</si>
  <si>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</si>
  <si>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</si>
  <si>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</si>
  <si>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</si>
  <si>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</si>
  <si>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</si>
  <si>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</si>
  <si>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</si>
  <si>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</si>
  <si>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</si>
  <si>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</si>
  <si>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</si>
  <si>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</si>
  <si>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</si>
  <si>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</si>
  <si>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</si>
  <si>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</si>
  <si>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</si>
  <si>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</si>
  <si>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</si>
  <si>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</si>
  <si>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</si>
  <si>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</si>
  <si>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</si>
  <si>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</si>
  <si>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</si>
  <si>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</si>
  <si>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</si>
  <si>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</si>
  <si>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</si>
  <si>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</si>
  <si>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</si>
  <si>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</si>
  <si>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</si>
  <si>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</si>
  <si>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</si>
  <si>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</si>
  <si>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</si>
  <si>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</si>
  <si>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</si>
  <si>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</si>
  <si>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</si>
  <si>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</si>
  <si>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</si>
  <si>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</si>
  <si>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</si>
  <si>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</si>
  <si>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</si>
  <si>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</si>
  <si>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</si>
  <si>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</si>
  <si>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</si>
  <si>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</si>
  <si>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</si>
  <si>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</si>
  <si>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</si>
  <si>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</si>
  <si>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</si>
  <si>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</si>
  <si>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</si>
  <si>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</si>
  <si>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</si>
  <si>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</si>
  <si>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</si>
  <si>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</si>
  <si>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</si>
  <si>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</si>
  <si>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</si>
  <si>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</si>
  <si>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</si>
  <si>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</si>
  <si>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</si>
  <si>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</si>
  <si>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</si>
  <si>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</si>
  <si>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</si>
  <si>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</si>
  <si>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</si>
  <si>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</si>
  <si>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</si>
  <si>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</si>
  <si>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</si>
  <si>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</si>
  <si>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</si>
  <si>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</si>
  <si>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</si>
  <si>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</si>
  <si>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</si>
  <si>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</si>
  <si>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</si>
  <si>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</si>
  <si>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</si>
  <si>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</si>
  <si>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</si>
  <si>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</si>
  <si>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</si>
  <si>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</si>
  <si>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</si>
  <si>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</si>
  <si>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</si>
  <si>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</si>
  <si>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</si>
  <si>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</si>
  <si>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</si>
  <si>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</si>
  <si>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</si>
  <si>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</si>
  <si>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</si>
  <si>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</si>
  <si>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</si>
  <si>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</si>
  <si>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</si>
  <si>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</si>
  <si>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</si>
  <si>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</si>
  <si>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</si>
  <si>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</si>
  <si>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</si>
  <si>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</si>
  <si>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</si>
  <si>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</si>
  <si>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CONTROL DISCIPLINARIO</t>
  </si>
  <si>
    <t>Llevar a cabo de manera adecuada las actuaciones disciplinarias al interior de la entidad, con la finalidad de promover los principios de la función pública en los servidores de la ETITC previsto en la ley 134 de 2002 y sus modificaciones.</t>
  </si>
  <si>
    <t>Inicia con el conocimiento de la queja, el informe disciplinario o de manera oficiosa y hasta la terminación de la actuación disciplinaria</t>
  </si>
  <si>
    <t xml:space="preserve">
Nulidades procesales - Figura jurídica de la Prescripcón de la acción disciplinaria  </t>
  </si>
  <si>
    <t xml:space="preserve">
1. Falta de actualización normativa del operador disciplinario y/o de los instructores                2. Falta de seguimiento al calendario de ejecución  de cada etapa procesal, sin identificar las etapas correspondientes y el calendario de términos de cada uno</t>
  </si>
  <si>
    <t xml:space="preserve">Actualización normativa permanente por parte del operador disciplinario y/o de los instructores
 </t>
  </si>
  <si>
    <t>Seguimiento procesal permanente a cada una de los procesos disciplinarios.</t>
  </si>
  <si>
    <t>Normograma Institucional de gestión disciplinaria actualizado</t>
  </si>
  <si>
    <t>Profesional Asuntos Disciplinarios</t>
  </si>
  <si>
    <t>01 de enero de 2022</t>
  </si>
  <si>
    <t>Puede generar Impunidad,
Sanciones disciplinarias por acción u omisión,
Deterioro imagen institucional,                           
Evaluación Inadecuada en el trámite de la Queja</t>
  </si>
  <si>
    <t>Falta de verificación por parte del Secretario General en las actuaciones procesales que se adelantan en los procesos disciplinarios por el Profesional de Asuntos Disciplinarios</t>
  </si>
  <si>
    <t xml:space="preserve">                                                  
Evaluación Inadecuada de la Queja debido a la 
 falta de cultura del auto control organizacional, que ocasione negligencia en indagación y gestión para la consecución de las pruebas pertinentes de la queja.             </t>
  </si>
  <si>
    <t xml:space="preserve">1. Falta de análisis integral para establecer sanciones disciplinarias, o el archivo definitivo de la investigación, ocasionado por:  la pérdida de expedientes y piezas procesales               2. La información que se está generando en el desarrollo de los procesos disciplinarios no se encuentran debidamente digitalizados y no se suben en su totalidad al drive institucional
            </t>
  </si>
  <si>
    <t xml:space="preserve">Cada actuación administrativa adelantada por el profesional de Asuntos Disciplinarios  debe pasar a socialización con el  Secretario General </t>
  </si>
  <si>
    <t xml:space="preserve">Visto bueno y revisión de todas las actuaciones administrativas y procedimientales emitido, por parte del Secretario General </t>
  </si>
  <si>
    <t>Toda la información que se genere en el desarrollo de los procesos disciplinarios se deben digitalizar y subir al Drive  Institucional</t>
  </si>
  <si>
    <t>Información y documentación de cada actuación procesal, digitalizada y subida al drive institucional</t>
  </si>
  <si>
    <t>Guardar en carpeta OneDrive - Escuela Tecnologica Instituto Tecnico Central del computador,  todos los documentos procesales que se van profiriendo, y que autoimaticamente serán subidos a la nube y se guardará registro digital</t>
  </si>
  <si>
    <t>Contagio Covid 19 por no cumplir con el correcto lavado de manos, distanciamiento social y lavado de manos frecuente</t>
  </si>
  <si>
    <t>Accidentes de trabajo y enfermedades laborales por la inobservancia de las normas de bioseguridad</t>
  </si>
  <si>
    <t>Se solicitará tapabocas al área de seguridad y salud en el trabajo sst</t>
  </si>
  <si>
    <t>Correo electrónico dirigido a seguridad y salud en el trabajo sst sokicitando tapabocas para el peronal de secretaría general</t>
  </si>
  <si>
    <t>30 de enero de 2022</t>
  </si>
  <si>
    <t>Asistencia a capacitaciones, charlas o cursos relacionados con los riesgos biologicos en el trabajo y también la higiene postural</t>
  </si>
  <si>
    <t>Certificados de invitaciones, asistencias,, participación, o link de ingreso a las charlads y capacitaciones</t>
  </si>
  <si>
    <t>01 de febrero de 2022</t>
  </si>
  <si>
    <t>Posibilidad de afectación reputacional por vencimiento de términos procesales y prescripción de la acción disciplinaria por desconocimiento de la norma aplicable para la instrucción de procesos o por falta de trámite de prorrogas en la instrucción de los procesos</t>
  </si>
  <si>
    <t xml:space="preserve">Posibilidad de afectación reputacional por recibir o solicitar dádivas a nombre propio o de un tercero para omitir o prorrogar acciones disciplinarias 
</t>
  </si>
  <si>
    <t>Posibilidad de afectación reputacional por violación de la reserva procesal por manejo inadecuado de los expedientes e información de los procesos disciplinarios</t>
  </si>
  <si>
    <t>13 de mayo de 2022</t>
  </si>
  <si>
    <t>Se hace seguimiento procesal permanente a cada una de las etapas de los procesos mediante matriz de procesos disciplinarios alimentada semanalmente que cuenta con el estado de cada uno, a la fecha no se ha materializado el riesgo.</t>
  </si>
  <si>
    <t>Se cuenta con el normograma de la gestión del control interno disciplinario actualizado, con la normativa disciplinaria vigente, a la fecha no se ha materializado el riesgo.</t>
  </si>
  <si>
    <t>El Secretario General dio el visto bueno a los autos proyectados y al trámite efectuado a todas las actuaciones administrativas, adelantadas por el funcionarios de Asuntos Disciplinarios, durante el 2022, no se ha materializado el riesgo.</t>
  </si>
  <si>
    <t>Toda la información que se ha generado en el primer cuatrimestre del año dentro de cada proceso disciplinario, se encuentra debidamente digitalizada y subida al DRIVE, hasta la fecha no se ha materializado el riesgo.</t>
  </si>
  <si>
    <t>La profesional asistió a la capacitación de: Emergencias Generales, SST- Capacitador ARL Positiva, presencial el 4 de marzo de 2022 a las 5 pm, en el teatro 3er piso, ETITC Sede Centro; a la fecha no se ha materializado el riesgo,</t>
  </si>
  <si>
    <t>Se requirió al SG-SST los tapabocas para Secretaría General y se hace uso de las medidas de bioseguridad que se mantengan vigentes por el gobierno Nacional, hasta la fecha no se ha materializado el riesgo.</t>
  </si>
  <si>
    <t>La última fecha de actualización del normograma publicado en página web se realizó en julio de 2021, sin embargo, con ocasión de la Ley 2213 del 13 de junio de 2022 se actualizó el normograma del proceso, y se solicitó a Calidad la actualización del mismo el 11 de agosto de 2022.
El riesgo no se ha materializado.</t>
  </si>
  <si>
    <t>Base de seguimiento de procesos disciplinarios actualizada</t>
  </si>
  <si>
    <t>Se hace seguimiento procesal a cada una de las etapas de los procesos mediante matriz de procesos disciplinarios alimentada semanalmente que cuenta con el estado de cada uno, a la fecha no se ha materializado el riesgo.
Como soporte de lo anterior, la líder del proceso presenta la matriz de seguimiento actualizada, tanto de procesos disciplinarios vigentes, como los archivados, a la fecha se cuenta con 57 procesos archivados y 25 vigentes.</t>
  </si>
  <si>
    <t>El Secretario General dio el visto bueno a los autos proyectados y al trámite efectuado a todas las actuaciones administrativas, adelantadas por el funcionarios de Asuntos Disciplinarios, durante el 2022, no se ha materializado el riesgo.
Como soporte de lo anterior, la responsable del proceso presenta la cadena de correos de "Auto traslado alegatos 2018-0001", donde se evidencia la trazabilidad del proceso, y el visto bueno, así como observaciones por parte del Secretario General.</t>
  </si>
  <si>
    <t>Toda la información que se ha generado hasta el mes de julio dentro de cada proceso disciplinario, se encuentra debidamente digitalizada y subida al One Drive institucional, como soporte de lo anterior, la profesional del proceso presenta su pantalla y se evidencia el cargue de los documentos en la nube.
Hasta la fecha no se ha materializado el riesgo.</t>
  </si>
  <si>
    <t>Posibilidad de afectación reputacional por enfermedades laborales por malas posturas en el puesto de trabajo y contagio de virales a causa de la contingencia COVID-19</t>
  </si>
  <si>
    <t>El proceso no solicitó caja de tapabocas al área de SST debido a que en el mes de febrero, se les entregaron 3 cajas de tapabocas, con 50 unidades cada una.
El riesgo no se ha materializado en la vigencia.</t>
  </si>
  <si>
    <t>La líder del proceso asistió a la capacitación de Manejo de Residuos Ordinarios, Residuos de Manejo Especial y Residuos Peligrosos, realizada por el área de Gestión Ambiental el día 3 de junio de 2022.
Como soporte de lo anterior, la líder del proceso presentó el listado de asistencia de la capacitación en mención,</t>
  </si>
  <si>
    <t>Fecha de actualización   1/11/2022</t>
  </si>
  <si>
    <r>
      <rPr>
        <b/>
        <sz val="14"/>
        <rFont val="Arial Narrow"/>
        <family val="2"/>
      </rPr>
      <t>LIDER DEL PROCESO:</t>
    </r>
    <r>
      <rPr>
        <sz val="14"/>
        <rFont val="Arial Narrow"/>
        <family val="2"/>
      </rPr>
      <t xml:space="preserve"> HENDRIKA GARCIA ALBARRACIN</t>
    </r>
  </si>
  <si>
    <t>Mediante el seguimiento efectuado se evidencio que a pesar de contar con el correo de aprobacion de la actualizaciòn, no se ha realizado la publicaciòn del normograma actualizado en el micrositio, lo cual  se evidencio a traves del correo electronico  remitido a la profesional del area de Calidad con su respectivo adjunto  de fecha de actualización  16 de agosto de 2022. actividad que requiere ser fortalecida con el seguimiento a  la publicación del documento.</t>
  </si>
  <si>
    <t xml:space="preserve">A partir del seguimiento efectuado, se observa que la herramienta por medio de la cual se realiza el control de los procesos disciplinarios, cuenta con ultima fecha de actuación procesal el dia  26 de septiembre, adicionalmente, se observa que la profesional que se encuentra liderando actualmente el proceso cuenta con poco tiempo de haberse vinculado a la Entidad, por lo que se recomienda la unificación de las herramientas de seguimiento para un óptimo control, par los  30 procesos que se encuentran activos actualmente. </t>
  </si>
  <si>
    <t xml:space="preserve">Se evidencio que, a partir de la entrada en vigencia  de la Ley 2094 del 2021,  la cual modifica el Codigo General Dsciplinario,  se establece que para los procesos disciplinarios debe existir un funcionario de instrucción y uno de juzgamiento, motivo por el cual  el Secretario General de la Entidad, no puede realizar la revisiòn. por lo que el control propuesto para mitigar el riesgo identificado requiere ser modificado de tal forma que permita evidenciar el soporte del control. Motivo por el cual el riesgo a pesar de no haberse materializado requiere ser fortalecido. </t>
  </si>
  <si>
    <t>Mediante el seguimiento efectuado se observo que la información del proceso que maneja la profesional a cargo del proceso se encuentra guardada en el One Drive, sin embargo, al haberse vinculado recientemente a la Entidad, se recomienda realizar el backup a la información de las carpetas ubicadas en el disco local del computador asignado. actividad que apesar de ejecutarse apropiada mente requiere ser fortalecida.</t>
  </si>
  <si>
    <t xml:space="preserve">Debido a los nuevos ineamientos establecidos por el gobierno el uso de tapabocas no es obligatorio en ciertos lugares de acuerdo a la Resolucion 666 de 2022 que no prorroga la emergencia sanitaria y no es requisito el uso obligatorio del tapabocas en la Institución, por lo cual esta actividad se dió por terminada en el segundo seguimiento. </t>
  </si>
  <si>
    <t>Debido a que la profesional ingreso a la Entidad recientemente,  no fue posible evidenciar su asistencia y desarrollo de la actividad de control, asi como tampoco para el  periodo de vinculación no se han programado capacitaciones en referencia al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</si>
</sst>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2"/>
      <name val="Arial "/>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4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57" fillId="0" borderId="67" xfId="0" applyFont="1" applyBorder="1" applyAlignment="1">
      <alignment horizontal="left" vertical="center"/>
    </xf>
    <xf numFmtId="0" fontId="57" fillId="0" borderId="66" xfId="0" applyFont="1" applyBorder="1" applyAlignment="1">
      <alignment horizontal="left" vertical="center"/>
    </xf>
    <xf numFmtId="0" fontId="57" fillId="0" borderId="63" xfId="0" applyFont="1" applyBorder="1" applyAlignment="1">
      <alignment horizontal="left" vertical="center"/>
    </xf>
    <xf numFmtId="0" fontId="57" fillId="0" borderId="64" xfId="0" applyFont="1" applyBorder="1" applyAlignment="1">
      <alignment horizontal="left" vertical="center"/>
    </xf>
    <xf numFmtId="0" fontId="57" fillId="0" borderId="68" xfId="0" applyFont="1" applyBorder="1" applyAlignment="1">
      <alignment horizontal="left" vertical="center"/>
    </xf>
    <xf numFmtId="0" fontId="57" fillId="0" borderId="65" xfId="0" applyFont="1" applyBorder="1" applyAlignment="1">
      <alignment horizontal="left" vertical="center"/>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5" fillId="0" borderId="74" xfId="0" applyFont="1" applyBorder="1" applyAlignment="1">
      <alignment horizontal="center" vertical="center" wrapText="1"/>
    </xf>
    <xf numFmtId="0" fontId="60" fillId="7" borderId="68" xfId="0" applyFont="1" applyFill="1" applyBorder="1" applyAlignment="1">
      <alignment horizontal="center" vertical="center"/>
    </xf>
    <xf numFmtId="0" fontId="60" fillId="7" borderId="57" xfId="0" applyFont="1" applyFill="1" applyBorder="1" applyAlignment="1">
      <alignment horizontal="center" vertical="center"/>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58" fillId="0" borderId="21" xfId="0" applyFont="1" applyBorder="1" applyAlignment="1" applyProtection="1">
      <alignment horizontal="center" vertical="center"/>
      <protection locked="0"/>
    </xf>
    <xf numFmtId="0" fontId="66" fillId="0" borderId="72" xfId="0" applyFont="1" applyBorder="1" applyAlignment="1">
      <alignment horizontal="left" vertical="center"/>
    </xf>
    <xf numFmtId="0" fontId="66" fillId="0" borderId="71" xfId="0" applyFont="1" applyBorder="1" applyAlignment="1">
      <alignment horizontal="left" vertical="center"/>
    </xf>
    <xf numFmtId="0" fontId="66" fillId="0" borderId="73" xfId="0" applyFont="1" applyBorder="1" applyAlignment="1">
      <alignment horizontal="left" vertical="center"/>
    </xf>
    <xf numFmtId="0" fontId="61" fillId="0" borderId="71" xfId="0" applyFont="1" applyBorder="1" applyAlignment="1">
      <alignment horizontal="left" vertical="center"/>
    </xf>
    <xf numFmtId="0" fontId="61" fillId="0" borderId="73" xfId="0" applyFont="1" applyBorder="1" applyAlignment="1">
      <alignment horizontal="left" vertical="center"/>
    </xf>
    <xf numFmtId="0" fontId="61" fillId="0" borderId="72" xfId="0" applyFont="1" applyBorder="1" applyAlignment="1">
      <alignment horizontal="left" vertical="center"/>
    </xf>
    <xf numFmtId="0" fontId="1" fillId="0" borderId="0" xfId="0" applyFont="1" applyAlignment="1">
      <alignment wrapText="1"/>
    </xf>
    <xf numFmtId="0" fontId="60" fillId="7" borderId="21" xfId="0" applyFont="1" applyFill="1" applyBorder="1" applyAlignment="1">
      <alignment vertical="center" wrapText="1"/>
    </xf>
    <xf numFmtId="0" fontId="66" fillId="0" borderId="71" xfId="0" applyFont="1" applyBorder="1" applyAlignment="1">
      <alignment horizontal="left" vertical="center" wrapText="1"/>
    </xf>
    <xf numFmtId="0" fontId="61" fillId="0" borderId="71" xfId="0" applyFont="1" applyBorder="1" applyAlignment="1">
      <alignment horizontal="left" vertical="center" wrapText="1"/>
    </xf>
    <xf numFmtId="0" fontId="60" fillId="7" borderId="57"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top" wrapText="1"/>
      <protection locked="0"/>
    </xf>
    <xf numFmtId="0" fontId="2" fillId="0" borderId="75" xfId="0" applyFont="1" applyBorder="1" applyAlignment="1" applyProtection="1">
      <alignment horizontal="center" vertical="center" wrapText="1"/>
      <protection locked="0"/>
    </xf>
    <xf numFmtId="9" fontId="2" fillId="0" borderId="21" xfId="0" applyNumberFormat="1" applyFont="1" applyBorder="1" applyAlignment="1" applyProtection="1">
      <alignment horizontal="center" vertical="top" wrapText="1"/>
      <protection hidden="1"/>
    </xf>
    <xf numFmtId="0" fontId="2" fillId="0" borderId="21" xfId="0" applyFont="1" applyBorder="1" applyAlignment="1">
      <alignment horizontal="center" vertical="top"/>
    </xf>
    <xf numFmtId="0" fontId="48" fillId="0" borderId="21" xfId="0" applyFont="1" applyBorder="1" applyAlignment="1" applyProtection="1">
      <alignment horizontal="justify" vertical="top" wrapText="1"/>
      <protection locked="0"/>
    </xf>
    <xf numFmtId="0" fontId="2" fillId="0" borderId="21" xfId="0" applyFont="1" applyBorder="1" applyAlignment="1" applyProtection="1">
      <alignment horizontal="center" vertical="top"/>
      <protection hidden="1"/>
    </xf>
    <xf numFmtId="0" fontId="2" fillId="0" borderId="21" xfId="0" applyFont="1" applyBorder="1" applyAlignment="1" applyProtection="1">
      <alignment horizontal="center" vertical="top" textRotation="90"/>
      <protection locked="0"/>
    </xf>
    <xf numFmtId="9" fontId="2" fillId="0" borderId="21" xfId="0" applyNumberFormat="1" applyFont="1" applyBorder="1" applyAlignment="1" applyProtection="1">
      <alignment horizontal="center" vertical="top"/>
      <protection hidden="1"/>
    </xf>
    <xf numFmtId="164" fontId="2" fillId="0" borderId="21" xfId="1" applyNumberFormat="1" applyFont="1" applyFill="1" applyBorder="1" applyAlignment="1">
      <alignment horizontal="center" vertical="top"/>
    </xf>
    <xf numFmtId="0" fontId="51" fillId="0" borderId="21" xfId="0" applyFont="1" applyBorder="1" applyAlignment="1" applyProtection="1">
      <alignment horizontal="center" vertical="top" textRotation="90" wrapText="1"/>
      <protection hidden="1"/>
    </xf>
    <xf numFmtId="0" fontId="51" fillId="0" borderId="21" xfId="0" applyFont="1" applyBorder="1" applyAlignment="1" applyProtection="1">
      <alignment horizontal="center" vertical="top" textRotation="90"/>
      <protection hidden="1"/>
    </xf>
    <xf numFmtId="14" fontId="2" fillId="0" borderId="21" xfId="0" applyNumberFormat="1" applyFont="1" applyBorder="1" applyAlignment="1" applyProtection="1">
      <alignment horizontal="center" vertical="top"/>
      <protection locked="0"/>
    </xf>
    <xf numFmtId="14" fontId="2" fillId="0" borderId="21" xfId="0" applyNumberFormat="1"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0" fontId="2" fillId="0" borderId="0" xfId="0" applyFont="1"/>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top" wrapText="1"/>
      <protection locked="0"/>
    </xf>
    <xf numFmtId="0" fontId="1"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top"/>
      <protection locked="0"/>
    </xf>
    <xf numFmtId="0" fontId="4" fillId="0" borderId="21" xfId="0" applyFont="1" applyBorder="1" applyAlignment="1" applyProtection="1">
      <alignment horizontal="center" vertical="top" wrapText="1"/>
      <protection hidden="1"/>
    </xf>
    <xf numFmtId="9" fontId="1" fillId="0" borderId="21" xfId="0" applyNumberFormat="1" applyFont="1" applyBorder="1" applyAlignment="1" applyProtection="1">
      <alignment horizontal="center" vertical="top" wrapText="1"/>
      <protection hidden="1"/>
    </xf>
    <xf numFmtId="9" fontId="1" fillId="0" borderId="21" xfId="0" applyNumberFormat="1" applyFont="1" applyBorder="1" applyAlignment="1" applyProtection="1">
      <alignment horizontal="center" vertical="top" wrapText="1"/>
      <protection locked="0"/>
    </xf>
    <xf numFmtId="0" fontId="4" fillId="0" borderId="21" xfId="0" applyFont="1" applyBorder="1" applyAlignment="1" applyProtection="1">
      <alignment horizontal="center" vertical="top"/>
      <protection hidden="1"/>
    </xf>
    <xf numFmtId="0" fontId="1" fillId="0" borderId="21" xfId="0" applyFont="1" applyBorder="1" applyAlignment="1">
      <alignment horizontal="center" vertical="top"/>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top"/>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Fill="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top"/>
      <protection locked="0"/>
    </xf>
    <xf numFmtId="14" fontId="1" fillId="0" borderId="21" xfId="0" applyNumberFormat="1" applyFont="1" applyBorder="1" applyAlignment="1" applyProtection="1">
      <alignment horizontal="center" vertical="top"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1" fillId="0" borderId="21" xfId="0" applyFont="1" applyBorder="1" applyAlignment="1">
      <alignment horizontal="center" vertical="center"/>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0" borderId="72" xfId="0" applyFont="1" applyBorder="1" applyAlignment="1">
      <alignment horizontal="left" vertical="center" wrapText="1"/>
    </xf>
    <xf numFmtId="0" fontId="61" fillId="0" borderId="71" xfId="0" applyFont="1" applyBorder="1" applyAlignment="1">
      <alignment horizontal="left" vertical="center" wrapText="1"/>
    </xf>
    <xf numFmtId="0" fontId="49" fillId="0" borderId="72"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73" xfId="0" applyFont="1" applyBorder="1" applyAlignment="1">
      <alignment horizontal="center" vertical="center" wrapText="1"/>
    </xf>
    <xf numFmtId="0" fontId="63" fillId="0" borderId="72" xfId="0" applyFont="1" applyBorder="1" applyAlignment="1">
      <alignment horizontal="center" vertical="center" wrapText="1"/>
    </xf>
    <xf numFmtId="0" fontId="63" fillId="0" borderId="71" xfId="0" applyFont="1" applyBorder="1" applyAlignment="1">
      <alignment horizontal="center" vertical="center" wrapText="1"/>
    </xf>
    <xf numFmtId="0" fontId="63" fillId="0" borderId="73" xfId="0" applyFont="1" applyBorder="1" applyAlignment="1">
      <alignment horizontal="center" vertical="center" wrapText="1"/>
    </xf>
    <xf numFmtId="0" fontId="64" fillId="0" borderId="76" xfId="0" applyFont="1" applyBorder="1" applyAlignment="1">
      <alignment horizontal="center" vertical="center" wrapText="1"/>
    </xf>
    <xf numFmtId="0" fontId="64" fillId="0" borderId="77" xfId="0" applyFont="1" applyBorder="1" applyAlignment="1">
      <alignment horizontal="center" vertical="center" wrapText="1"/>
    </xf>
    <xf numFmtId="0" fontId="64" fillId="0" borderId="78" xfId="0" applyFont="1" applyBorder="1" applyAlignment="1">
      <alignment horizontal="center" vertical="center" wrapText="1"/>
    </xf>
    <xf numFmtId="0" fontId="65" fillId="0" borderId="76" xfId="0" applyFont="1" applyBorder="1" applyAlignment="1">
      <alignment horizontal="center" vertical="center" wrapText="1"/>
    </xf>
    <xf numFmtId="0" fontId="65" fillId="0" borderId="77" xfId="0" applyFont="1" applyBorder="1" applyAlignment="1">
      <alignment horizontal="center" vertical="center" wrapText="1"/>
    </xf>
    <xf numFmtId="0" fontId="65" fillId="0" borderId="78" xfId="0" applyFont="1" applyBorder="1" applyAlignment="1">
      <alignment horizontal="center" vertical="center" wrapText="1"/>
    </xf>
    <xf numFmtId="0" fontId="2" fillId="0" borderId="75"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75" xfId="0" applyFont="1" applyBorder="1" applyAlignment="1" applyProtection="1">
      <alignment horizontal="center" vertical="top" wrapText="1"/>
      <protection locked="0"/>
    </xf>
    <xf numFmtId="0" fontId="2" fillId="0" borderId="22" xfId="0" applyFont="1" applyBorder="1" applyAlignment="1" applyProtection="1">
      <alignment horizontal="center" vertical="top" wrapText="1"/>
      <protection locked="0"/>
    </xf>
    <xf numFmtId="0" fontId="2" fillId="0" borderId="75" xfId="0" applyFont="1" applyBorder="1" applyAlignment="1" applyProtection="1">
      <alignment horizontal="center" vertical="top"/>
      <protection locked="0"/>
    </xf>
    <xf numFmtId="0" fontId="2" fillId="0" borderId="22" xfId="0" applyFont="1" applyBorder="1" applyAlignment="1" applyProtection="1">
      <alignment horizontal="center" vertical="top"/>
      <protection locked="0"/>
    </xf>
    <xf numFmtId="0" fontId="51" fillId="0" borderId="75" xfId="0" applyFont="1" applyBorder="1" applyAlignment="1" applyProtection="1">
      <alignment horizontal="center" vertical="top" wrapText="1"/>
      <protection hidden="1"/>
    </xf>
    <xf numFmtId="0" fontId="51" fillId="0" borderId="22" xfId="0" applyFont="1" applyBorder="1" applyAlignment="1" applyProtection="1">
      <alignment horizontal="center" vertical="top" wrapText="1"/>
      <protection hidden="1"/>
    </xf>
    <xf numFmtId="9" fontId="2" fillId="0" borderId="75" xfId="0" applyNumberFormat="1" applyFont="1" applyBorder="1" applyAlignment="1" applyProtection="1">
      <alignment horizontal="center" vertical="top" wrapText="1"/>
      <protection hidden="1"/>
    </xf>
    <xf numFmtId="9" fontId="2" fillId="0" borderId="22" xfId="0" applyNumberFormat="1" applyFont="1" applyBorder="1" applyAlignment="1" applyProtection="1">
      <alignment horizontal="center" vertical="top" wrapText="1"/>
      <protection hidden="1"/>
    </xf>
    <xf numFmtId="9" fontId="2" fillId="0" borderId="75" xfId="0" applyNumberFormat="1" applyFont="1" applyBorder="1" applyAlignment="1" applyProtection="1">
      <alignment horizontal="center" vertical="top" wrapText="1"/>
      <protection locked="0"/>
    </xf>
    <xf numFmtId="9" fontId="2" fillId="0" borderId="22" xfId="0" applyNumberFormat="1" applyFont="1" applyBorder="1" applyAlignment="1" applyProtection="1">
      <alignment horizontal="center" vertical="top" wrapText="1"/>
      <protection locked="0"/>
    </xf>
    <xf numFmtId="0" fontId="1" fillId="0" borderId="7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75" xfId="0" applyFont="1" applyBorder="1" applyAlignment="1" applyProtection="1">
      <alignment horizontal="center" vertical="top" wrapText="1"/>
      <protection locked="0"/>
    </xf>
    <xf numFmtId="0" fontId="1" fillId="0" borderId="22" xfId="0" applyFont="1" applyBorder="1" applyAlignment="1" applyProtection="1">
      <alignment horizontal="center" vertical="top" wrapText="1"/>
      <protection locked="0"/>
    </xf>
    <xf numFmtId="0" fontId="4" fillId="0" borderId="75" xfId="0" applyFont="1" applyBorder="1" applyAlignment="1" applyProtection="1">
      <alignment horizontal="center" vertical="top" wrapText="1"/>
      <protection hidden="1"/>
    </xf>
    <xf numFmtId="0" fontId="4" fillId="0" borderId="22" xfId="0" applyFont="1" applyBorder="1" applyAlignment="1" applyProtection="1">
      <alignment horizontal="center" vertical="top" wrapText="1"/>
      <protection hidden="1"/>
    </xf>
    <xf numFmtId="9" fontId="1" fillId="0" borderId="75"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9" fontId="1" fillId="0" borderId="75" xfId="0" applyNumberFormat="1" applyFont="1" applyBorder="1" applyAlignment="1" applyProtection="1">
      <alignment horizontal="center" vertical="top" wrapText="1"/>
      <protection locked="0"/>
    </xf>
    <xf numFmtId="9" fontId="1" fillId="0" borderId="22" xfId="0" applyNumberFormat="1" applyFont="1" applyBorder="1" applyAlignment="1" applyProtection="1">
      <alignment horizontal="center" vertical="top" wrapText="1"/>
      <protection locked="0"/>
    </xf>
    <xf numFmtId="0" fontId="4" fillId="0" borderId="75" xfId="0" applyFont="1" applyBorder="1" applyAlignment="1" applyProtection="1">
      <alignment horizontal="center" vertical="top" textRotation="90" wrapText="1"/>
      <protection hidden="1"/>
    </xf>
    <xf numFmtId="0" fontId="4" fillId="0" borderId="22" xfId="0" applyFont="1" applyBorder="1" applyAlignment="1" applyProtection="1">
      <alignment horizontal="center" vertical="top" textRotation="90" wrapText="1"/>
      <protection hidden="1"/>
    </xf>
    <xf numFmtId="0" fontId="2" fillId="0" borderId="75" xfId="0" applyFont="1" applyBorder="1" applyAlignment="1">
      <alignment horizontal="center" vertical="center"/>
    </xf>
    <xf numFmtId="0" fontId="2" fillId="0" borderId="22" xfId="0" applyFont="1" applyBorder="1" applyAlignment="1">
      <alignment horizontal="center" vertical="center"/>
    </xf>
    <xf numFmtId="0" fontId="2" fillId="0" borderId="75" xfId="0" applyFont="1" applyBorder="1" applyAlignment="1">
      <alignment horizontal="center" vertical="center" wrapText="1"/>
    </xf>
    <xf numFmtId="0" fontId="2" fillId="0" borderId="22" xfId="0" applyFont="1" applyBorder="1" applyAlignment="1">
      <alignment horizontal="center" vertical="center" wrapText="1"/>
    </xf>
    <xf numFmtId="0" fontId="58" fillId="0" borderId="21" xfId="0" applyFont="1" applyBorder="1" applyAlignment="1" applyProtection="1">
      <alignment horizontal="center" vertical="center"/>
      <protection locked="0"/>
    </xf>
    <xf numFmtId="0" fontId="4" fillId="0" borderId="75" xfId="0" applyFont="1" applyBorder="1" applyAlignment="1" applyProtection="1">
      <alignment horizontal="center" vertical="top"/>
      <protection hidden="1"/>
    </xf>
    <xf numFmtId="0" fontId="4" fillId="0" borderId="22" xfId="0" applyFont="1" applyBorder="1" applyAlignment="1" applyProtection="1">
      <alignment horizontal="center" vertical="top"/>
      <protection hidden="1"/>
    </xf>
    <xf numFmtId="0" fontId="51" fillId="0" borderId="75" xfId="0" applyFont="1" applyBorder="1" applyAlignment="1" applyProtection="1">
      <alignment horizontal="center" vertical="top"/>
      <protection hidden="1"/>
    </xf>
    <xf numFmtId="0" fontId="51" fillId="0" borderId="22" xfId="0" applyFont="1" applyBorder="1" applyAlignment="1" applyProtection="1">
      <alignment horizontal="center" vertical="top"/>
      <protection hidden="1"/>
    </xf>
    <xf numFmtId="0" fontId="1" fillId="0" borderId="75" xfId="0" applyFont="1" applyBorder="1" applyAlignment="1">
      <alignment horizontal="center" vertical="center"/>
    </xf>
    <xf numFmtId="0" fontId="1" fillId="0" borderId="22"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1" fillId="0" borderId="0" xfId="0" applyFont="1" applyAlignment="1">
      <alignment horizontal="center" vertical="center" wrapText="1"/>
    </xf>
    <xf numFmtId="0" fontId="1" fillId="0" borderId="75"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9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C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row r="2" spans="2:8" ht="18">
      <c r="B2" s="218" t="s">
        <v>163</v>
      </c>
      <c r="C2" s="219"/>
      <c r="D2" s="219"/>
      <c r="E2" s="219"/>
      <c r="F2" s="219"/>
      <c r="G2" s="219"/>
      <c r="H2" s="220"/>
    </row>
    <row r="3" spans="2:8">
      <c r="B3" s="76"/>
      <c r="C3" s="77"/>
      <c r="D3" s="77"/>
      <c r="E3" s="77"/>
      <c r="F3" s="77"/>
      <c r="G3" s="77"/>
      <c r="H3" s="78"/>
    </row>
    <row r="4" spans="2:8" ht="63" customHeight="1">
      <c r="B4" s="221" t="s">
        <v>206</v>
      </c>
      <c r="C4" s="222"/>
      <c r="D4" s="222"/>
      <c r="E4" s="222"/>
      <c r="F4" s="222"/>
      <c r="G4" s="222"/>
      <c r="H4" s="223"/>
    </row>
    <row r="5" spans="2:8" ht="63" customHeight="1">
      <c r="B5" s="224"/>
      <c r="C5" s="225"/>
      <c r="D5" s="225"/>
      <c r="E5" s="225"/>
      <c r="F5" s="225"/>
      <c r="G5" s="225"/>
      <c r="H5" s="226"/>
    </row>
    <row r="6" spans="2:8" ht="16.5">
      <c r="B6" s="227" t="s">
        <v>161</v>
      </c>
      <c r="C6" s="228"/>
      <c r="D6" s="228"/>
      <c r="E6" s="228"/>
      <c r="F6" s="228"/>
      <c r="G6" s="228"/>
      <c r="H6" s="229"/>
    </row>
    <row r="7" spans="2:8" ht="95.25" customHeight="1">
      <c r="B7" s="237" t="s">
        <v>166</v>
      </c>
      <c r="C7" s="238"/>
      <c r="D7" s="238"/>
      <c r="E7" s="238"/>
      <c r="F7" s="238"/>
      <c r="G7" s="238"/>
      <c r="H7" s="239"/>
    </row>
    <row r="8" spans="2:8" ht="16.5">
      <c r="B8" s="112"/>
      <c r="C8" s="113"/>
      <c r="D8" s="113"/>
      <c r="E8" s="113"/>
      <c r="F8" s="113"/>
      <c r="G8" s="113"/>
      <c r="H8" s="114"/>
    </row>
    <row r="9" spans="2:8" ht="16.5" customHeight="1">
      <c r="B9" s="230" t="s">
        <v>199</v>
      </c>
      <c r="C9" s="231"/>
      <c r="D9" s="231"/>
      <c r="E9" s="231"/>
      <c r="F9" s="231"/>
      <c r="G9" s="231"/>
      <c r="H9" s="232"/>
    </row>
    <row r="10" spans="2:8" ht="44.25" customHeight="1">
      <c r="B10" s="230"/>
      <c r="C10" s="231"/>
      <c r="D10" s="231"/>
      <c r="E10" s="231"/>
      <c r="F10" s="231"/>
      <c r="G10" s="231"/>
      <c r="H10" s="232"/>
    </row>
    <row r="11" spans="2:8" ht="15.75" thickBot="1">
      <c r="B11" s="101"/>
      <c r="C11" s="104"/>
      <c r="D11" s="109"/>
      <c r="E11" s="110"/>
      <c r="F11" s="110"/>
      <c r="G11" s="111"/>
      <c r="H11" s="105"/>
    </row>
    <row r="12" spans="2:8" ht="15.75" thickTop="1">
      <c r="B12" s="101"/>
      <c r="C12" s="233" t="s">
        <v>162</v>
      </c>
      <c r="D12" s="234"/>
      <c r="E12" s="235" t="s">
        <v>200</v>
      </c>
      <c r="F12" s="236"/>
      <c r="G12" s="104"/>
      <c r="H12" s="105"/>
    </row>
    <row r="13" spans="2:8" ht="35.25" customHeight="1">
      <c r="B13" s="101"/>
      <c r="C13" s="205" t="s">
        <v>193</v>
      </c>
      <c r="D13" s="206"/>
      <c r="E13" s="207" t="s">
        <v>198</v>
      </c>
      <c r="F13" s="208"/>
      <c r="G13" s="104"/>
      <c r="H13" s="105"/>
    </row>
    <row r="14" spans="2:8" ht="17.25" customHeight="1">
      <c r="B14" s="101"/>
      <c r="C14" s="205" t="s">
        <v>194</v>
      </c>
      <c r="D14" s="206"/>
      <c r="E14" s="207" t="s">
        <v>196</v>
      </c>
      <c r="F14" s="208"/>
      <c r="G14" s="104"/>
      <c r="H14" s="105"/>
    </row>
    <row r="15" spans="2:8" ht="19.5" customHeight="1">
      <c r="B15" s="101"/>
      <c r="C15" s="205" t="s">
        <v>195</v>
      </c>
      <c r="D15" s="206"/>
      <c r="E15" s="207" t="s">
        <v>197</v>
      </c>
      <c r="F15" s="208"/>
      <c r="G15" s="104"/>
      <c r="H15" s="105"/>
    </row>
    <row r="16" spans="2:8" ht="69.75" customHeight="1">
      <c r="B16" s="101"/>
      <c r="C16" s="205" t="s">
        <v>164</v>
      </c>
      <c r="D16" s="206"/>
      <c r="E16" s="207" t="s">
        <v>165</v>
      </c>
      <c r="F16" s="208"/>
      <c r="G16" s="104"/>
      <c r="H16" s="105"/>
    </row>
    <row r="17" spans="2:8" ht="34.5" customHeight="1">
      <c r="B17" s="101"/>
      <c r="C17" s="209" t="s">
        <v>2</v>
      </c>
      <c r="D17" s="210"/>
      <c r="E17" s="201" t="s">
        <v>207</v>
      </c>
      <c r="F17" s="202"/>
      <c r="G17" s="104"/>
      <c r="H17" s="105"/>
    </row>
    <row r="18" spans="2:8" ht="27.75" customHeight="1">
      <c r="B18" s="101"/>
      <c r="C18" s="209" t="s">
        <v>3</v>
      </c>
      <c r="D18" s="210"/>
      <c r="E18" s="201" t="s">
        <v>208</v>
      </c>
      <c r="F18" s="202"/>
      <c r="G18" s="104"/>
      <c r="H18" s="105"/>
    </row>
    <row r="19" spans="2:8" ht="28.5" customHeight="1">
      <c r="B19" s="101"/>
      <c r="C19" s="209" t="s">
        <v>41</v>
      </c>
      <c r="D19" s="210"/>
      <c r="E19" s="201" t="s">
        <v>209</v>
      </c>
      <c r="F19" s="202"/>
      <c r="G19" s="104"/>
      <c r="H19" s="105"/>
    </row>
    <row r="20" spans="2:8" ht="72.75" customHeight="1">
      <c r="B20" s="101"/>
      <c r="C20" s="209" t="s">
        <v>1</v>
      </c>
      <c r="D20" s="210"/>
      <c r="E20" s="201" t="s">
        <v>210</v>
      </c>
      <c r="F20" s="202"/>
      <c r="G20" s="104"/>
      <c r="H20" s="105"/>
    </row>
    <row r="21" spans="2:8" ht="64.5" customHeight="1">
      <c r="B21" s="101"/>
      <c r="C21" s="209" t="s">
        <v>49</v>
      </c>
      <c r="D21" s="210"/>
      <c r="E21" s="201" t="s">
        <v>168</v>
      </c>
      <c r="F21" s="202"/>
      <c r="G21" s="104"/>
      <c r="H21" s="105"/>
    </row>
    <row r="22" spans="2:8" ht="71.25" customHeight="1">
      <c r="B22" s="101"/>
      <c r="C22" s="209" t="s">
        <v>167</v>
      </c>
      <c r="D22" s="210"/>
      <c r="E22" s="201" t="s">
        <v>169</v>
      </c>
      <c r="F22" s="202"/>
      <c r="G22" s="104"/>
      <c r="H22" s="105"/>
    </row>
    <row r="23" spans="2:8" ht="55.5" customHeight="1">
      <c r="B23" s="101"/>
      <c r="C23" s="203" t="s">
        <v>170</v>
      </c>
      <c r="D23" s="204"/>
      <c r="E23" s="201" t="s">
        <v>171</v>
      </c>
      <c r="F23" s="202"/>
      <c r="G23" s="104"/>
      <c r="H23" s="105"/>
    </row>
    <row r="24" spans="2:8" ht="42" customHeight="1">
      <c r="B24" s="101"/>
      <c r="C24" s="203" t="s">
        <v>47</v>
      </c>
      <c r="D24" s="204"/>
      <c r="E24" s="201" t="s">
        <v>172</v>
      </c>
      <c r="F24" s="202"/>
      <c r="G24" s="104"/>
      <c r="H24" s="105"/>
    </row>
    <row r="25" spans="2:8" ht="59.25" customHeight="1">
      <c r="B25" s="101"/>
      <c r="C25" s="203" t="s">
        <v>160</v>
      </c>
      <c r="D25" s="204"/>
      <c r="E25" s="201" t="s">
        <v>173</v>
      </c>
      <c r="F25" s="202"/>
      <c r="G25" s="104"/>
      <c r="H25" s="105"/>
    </row>
    <row r="26" spans="2:8" ht="23.25" customHeight="1">
      <c r="B26" s="101"/>
      <c r="C26" s="203" t="s">
        <v>12</v>
      </c>
      <c r="D26" s="204"/>
      <c r="E26" s="201" t="s">
        <v>174</v>
      </c>
      <c r="F26" s="202"/>
      <c r="G26" s="104"/>
      <c r="H26" s="105"/>
    </row>
    <row r="27" spans="2:8" ht="30.75" customHeight="1">
      <c r="B27" s="101"/>
      <c r="C27" s="203" t="s">
        <v>178</v>
      </c>
      <c r="D27" s="204"/>
      <c r="E27" s="201" t="s">
        <v>175</v>
      </c>
      <c r="F27" s="202"/>
      <c r="G27" s="104"/>
      <c r="H27" s="105"/>
    </row>
    <row r="28" spans="2:8" ht="35.25" customHeight="1">
      <c r="B28" s="101"/>
      <c r="C28" s="203" t="s">
        <v>179</v>
      </c>
      <c r="D28" s="204"/>
      <c r="E28" s="201" t="s">
        <v>176</v>
      </c>
      <c r="F28" s="202"/>
      <c r="G28" s="104"/>
      <c r="H28" s="105"/>
    </row>
    <row r="29" spans="2:8" ht="33" customHeight="1">
      <c r="B29" s="101"/>
      <c r="C29" s="203" t="s">
        <v>179</v>
      </c>
      <c r="D29" s="204"/>
      <c r="E29" s="201" t="s">
        <v>176</v>
      </c>
      <c r="F29" s="202"/>
      <c r="G29" s="104"/>
      <c r="H29" s="105"/>
    </row>
    <row r="30" spans="2:8" ht="30" customHeight="1">
      <c r="B30" s="101"/>
      <c r="C30" s="203" t="s">
        <v>180</v>
      </c>
      <c r="D30" s="204"/>
      <c r="E30" s="201" t="s">
        <v>177</v>
      </c>
      <c r="F30" s="202"/>
      <c r="G30" s="104"/>
      <c r="H30" s="105"/>
    </row>
    <row r="31" spans="2:8" ht="35.25" customHeight="1">
      <c r="B31" s="101"/>
      <c r="C31" s="203" t="s">
        <v>181</v>
      </c>
      <c r="D31" s="204"/>
      <c r="E31" s="201" t="s">
        <v>182</v>
      </c>
      <c r="F31" s="202"/>
      <c r="G31" s="104"/>
      <c r="H31" s="105"/>
    </row>
    <row r="32" spans="2:8" ht="31.5" customHeight="1">
      <c r="B32" s="101"/>
      <c r="C32" s="203" t="s">
        <v>183</v>
      </c>
      <c r="D32" s="204"/>
      <c r="E32" s="201" t="s">
        <v>184</v>
      </c>
      <c r="F32" s="202"/>
      <c r="G32" s="104"/>
      <c r="H32" s="105"/>
    </row>
    <row r="33" spans="2:8" ht="35.25" customHeight="1">
      <c r="B33" s="101"/>
      <c r="C33" s="203" t="s">
        <v>185</v>
      </c>
      <c r="D33" s="204"/>
      <c r="E33" s="201" t="s">
        <v>186</v>
      </c>
      <c r="F33" s="202"/>
      <c r="G33" s="104"/>
      <c r="H33" s="105"/>
    </row>
    <row r="34" spans="2:8" ht="59.25" customHeight="1">
      <c r="B34" s="101"/>
      <c r="C34" s="203" t="s">
        <v>187</v>
      </c>
      <c r="D34" s="204"/>
      <c r="E34" s="201" t="s">
        <v>188</v>
      </c>
      <c r="F34" s="202"/>
      <c r="G34" s="104"/>
      <c r="H34" s="105"/>
    </row>
    <row r="35" spans="2:8" ht="29.25" customHeight="1">
      <c r="B35" s="101"/>
      <c r="C35" s="203" t="s">
        <v>29</v>
      </c>
      <c r="D35" s="204"/>
      <c r="E35" s="201" t="s">
        <v>189</v>
      </c>
      <c r="F35" s="202"/>
      <c r="G35" s="104"/>
      <c r="H35" s="105"/>
    </row>
    <row r="36" spans="2:8" ht="82.5" customHeight="1">
      <c r="B36" s="101"/>
      <c r="C36" s="203" t="s">
        <v>191</v>
      </c>
      <c r="D36" s="204"/>
      <c r="E36" s="201" t="s">
        <v>190</v>
      </c>
      <c r="F36" s="202"/>
      <c r="G36" s="104"/>
      <c r="H36" s="105"/>
    </row>
    <row r="37" spans="2:8" ht="46.5" customHeight="1">
      <c r="B37" s="101"/>
      <c r="C37" s="203" t="s">
        <v>38</v>
      </c>
      <c r="D37" s="204"/>
      <c r="E37" s="201" t="s">
        <v>192</v>
      </c>
      <c r="F37" s="202"/>
      <c r="G37" s="104"/>
      <c r="H37" s="105"/>
    </row>
    <row r="38" spans="2:8" ht="6.75" customHeight="1" thickBot="1">
      <c r="B38" s="101"/>
      <c r="C38" s="214"/>
      <c r="D38" s="215"/>
      <c r="E38" s="216"/>
      <c r="F38" s="217"/>
      <c r="G38" s="104"/>
      <c r="H38" s="105"/>
    </row>
    <row r="39" spans="2:8" ht="15.75" thickTop="1">
      <c r="B39" s="101"/>
      <c r="C39" s="102"/>
      <c r="D39" s="102"/>
      <c r="E39" s="103"/>
      <c r="F39" s="103"/>
      <c r="G39" s="104"/>
      <c r="H39" s="105"/>
    </row>
    <row r="40" spans="2:8" ht="21" customHeight="1">
      <c r="B40" s="211" t="s">
        <v>201</v>
      </c>
      <c r="C40" s="212"/>
      <c r="D40" s="212"/>
      <c r="E40" s="212"/>
      <c r="F40" s="212"/>
      <c r="G40" s="212"/>
      <c r="H40" s="213"/>
    </row>
    <row r="41" spans="2:8" ht="20.25" customHeight="1">
      <c r="B41" s="211" t="s">
        <v>202</v>
      </c>
      <c r="C41" s="212"/>
      <c r="D41" s="212"/>
      <c r="E41" s="212"/>
      <c r="F41" s="212"/>
      <c r="G41" s="212"/>
      <c r="H41" s="213"/>
    </row>
    <row r="42" spans="2:8" ht="20.25" customHeight="1">
      <c r="B42" s="211" t="s">
        <v>203</v>
      </c>
      <c r="C42" s="212"/>
      <c r="D42" s="212"/>
      <c r="E42" s="212"/>
      <c r="F42" s="212"/>
      <c r="G42" s="212"/>
      <c r="H42" s="213"/>
    </row>
    <row r="43" spans="2:8" ht="20.25" customHeight="1">
      <c r="B43" s="211" t="s">
        <v>204</v>
      </c>
      <c r="C43" s="212"/>
      <c r="D43" s="212"/>
      <c r="E43" s="212"/>
      <c r="F43" s="212"/>
      <c r="G43" s="212"/>
      <c r="H43" s="213"/>
    </row>
    <row r="44" spans="2:8">
      <c r="B44" s="211" t="s">
        <v>205</v>
      </c>
      <c r="C44" s="212"/>
      <c r="D44" s="212"/>
      <c r="E44" s="212"/>
      <c r="F44" s="212"/>
      <c r="G44" s="212"/>
      <c r="H44" s="213"/>
    </row>
    <row r="45" spans="2:8" ht="15.75" thickBot="1">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cols>
    <col min="1" max="1" width="32.7109375" style="6" customWidth="1"/>
    <col min="2" max="16384" width="11.42578125" style="6"/>
  </cols>
  <sheetData>
    <row r="3" spans="1:1">
      <c r="A3" s="7" t="s">
        <v>14</v>
      </c>
    </row>
    <row r="4" spans="1:1">
      <c r="A4" s="7" t="s">
        <v>15</v>
      </c>
    </row>
    <row r="5" spans="1:1">
      <c r="A5" s="7" t="s">
        <v>16</v>
      </c>
    </row>
    <row r="6" spans="1:1">
      <c r="A6" s="7" t="s">
        <v>10</v>
      </c>
    </row>
    <row r="7" spans="1:1">
      <c r="A7" s="7" t="s">
        <v>9</v>
      </c>
    </row>
    <row r="8" spans="1:1">
      <c r="A8" s="7" t="s">
        <v>19</v>
      </c>
    </row>
    <row r="9" spans="1:1">
      <c r="A9" s="7" t="s">
        <v>20</v>
      </c>
    </row>
    <row r="10" spans="1:1">
      <c r="A10" s="7" t="s">
        <v>22</v>
      </c>
    </row>
    <row r="11" spans="1:1">
      <c r="A11" s="7" t="s">
        <v>23</v>
      </c>
    </row>
    <row r="12" spans="1:1">
      <c r="A12" s="7" t="s">
        <v>25</v>
      </c>
    </row>
    <row r="13" spans="1:1">
      <c r="A13" s="7" t="s">
        <v>26</v>
      </c>
    </row>
    <row r="14" spans="1:1">
      <c r="A14" s="7" t="s">
        <v>27</v>
      </c>
    </row>
    <row r="16" spans="1:1">
      <c r="A16" s="7" t="s">
        <v>30</v>
      </c>
    </row>
    <row r="17" spans="1:1">
      <c r="A17" s="7" t="s">
        <v>31</v>
      </c>
    </row>
    <row r="18" spans="1:1">
      <c r="A18" s="7" t="s">
        <v>32</v>
      </c>
    </row>
    <row r="20" spans="1:1">
      <c r="A20" s="7" t="s">
        <v>39</v>
      </c>
    </row>
    <row r="21" spans="1:1">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3"/>
  <sheetViews>
    <sheetView showGridLines="0" tabSelected="1" topLeftCell="AL15" zoomScale="70" zoomScaleNormal="70" workbookViewId="0">
      <selection activeCell="AV10" sqref="AV10"/>
    </sheetView>
  </sheetViews>
  <sheetFormatPr baseColWidth="10" defaultColWidth="11.42578125" defaultRowHeight="16.5"/>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56" customWidth="1"/>
    <col min="37" max="37" width="18.7109375" style="156" customWidth="1"/>
    <col min="38" max="38" width="16.7109375" style="1" customWidth="1"/>
    <col min="39" max="39" width="14.7109375" style="156" customWidth="1"/>
    <col min="40" max="40" width="30.85546875" style="1" customWidth="1"/>
    <col min="41" max="41" width="13.85546875" style="1" customWidth="1"/>
    <col min="42" max="42" width="15.85546875" style="1" customWidth="1"/>
    <col min="43" max="43" width="47.85546875" style="1" customWidth="1"/>
    <col min="44" max="44" width="20.7109375" style="1" customWidth="1"/>
    <col min="45" max="45" width="15.42578125" style="1" customWidth="1"/>
    <col min="46" max="46" width="53" style="1" customWidth="1"/>
    <col min="47" max="47" width="17.28515625" style="1" customWidth="1"/>
    <col min="48" max="16384" width="11.42578125" style="1"/>
  </cols>
  <sheetData>
    <row r="1" spans="1:73" ht="38.450000000000003" customHeight="1">
      <c r="A1" s="282" t="s">
        <v>213</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149"/>
      <c r="AQ1" s="149"/>
      <c r="AR1" s="149"/>
      <c r="AS1" s="149"/>
      <c r="AT1" s="130" t="s">
        <v>214</v>
      </c>
      <c r="AU1" s="131"/>
    </row>
    <row r="2" spans="1:73" ht="33.6" customHeight="1">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149"/>
      <c r="AQ2" s="149"/>
      <c r="AR2" s="149"/>
      <c r="AS2" s="149"/>
      <c r="AT2" s="132" t="s">
        <v>221</v>
      </c>
      <c r="AU2" s="133"/>
    </row>
    <row r="3" spans="1:73" ht="13.9" customHeight="1">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149"/>
      <c r="AQ3" s="149"/>
      <c r="AR3" s="149"/>
      <c r="AS3" s="149"/>
      <c r="AT3" s="132" t="s">
        <v>222</v>
      </c>
      <c r="AU3" s="133"/>
    </row>
    <row r="4" spans="1:73" ht="13.9" customHeight="1">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149"/>
      <c r="AQ4" s="149"/>
      <c r="AR4" s="149"/>
      <c r="AS4" s="149"/>
      <c r="AT4" s="134" t="s">
        <v>215</v>
      </c>
      <c r="AU4" s="135"/>
    </row>
    <row r="5" spans="1:73" ht="26.25" customHeight="1">
      <c r="A5" s="147" t="s">
        <v>42</v>
      </c>
      <c r="B5" s="148"/>
      <c r="C5" s="150" t="s">
        <v>253</v>
      </c>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8"/>
      <c r="AN5" s="151"/>
      <c r="AO5" s="151"/>
      <c r="AP5" s="151"/>
      <c r="AQ5" s="151"/>
      <c r="AR5" s="151"/>
      <c r="AS5" s="151"/>
      <c r="AT5" s="151"/>
      <c r="AU5" s="152"/>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c r="A6" s="147" t="s">
        <v>129</v>
      </c>
      <c r="B6" s="148"/>
      <c r="C6" s="240" t="s">
        <v>254</v>
      </c>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153"/>
      <c r="AF6" s="153"/>
      <c r="AG6" s="153"/>
      <c r="AH6" s="153"/>
      <c r="AI6" s="153"/>
      <c r="AJ6" s="153"/>
      <c r="AK6" s="153"/>
      <c r="AL6" s="153"/>
      <c r="AM6" s="159"/>
      <c r="AN6" s="153"/>
      <c r="AO6" s="153"/>
      <c r="AP6" s="153"/>
      <c r="AQ6" s="153"/>
      <c r="AR6" s="153"/>
      <c r="AS6" s="153"/>
      <c r="AT6" s="153"/>
      <c r="AU6" s="154"/>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c r="A7" s="147" t="s">
        <v>43</v>
      </c>
      <c r="B7" s="148"/>
      <c r="C7" s="155" t="s">
        <v>255</v>
      </c>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9"/>
      <c r="AN7" s="153"/>
      <c r="AO7" s="153"/>
      <c r="AP7" s="153"/>
      <c r="AQ7" s="153"/>
      <c r="AR7" s="153"/>
      <c r="AS7" s="153"/>
      <c r="AT7" s="153"/>
      <c r="AU7" s="154"/>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c r="A8" s="138" t="s">
        <v>138</v>
      </c>
      <c r="B8" s="138"/>
      <c r="C8" s="138"/>
      <c r="D8" s="138"/>
      <c r="E8" s="139"/>
      <c r="F8" s="139"/>
      <c r="G8" s="139"/>
      <c r="H8" s="139"/>
      <c r="I8" s="139"/>
      <c r="J8" s="139"/>
      <c r="K8" s="139"/>
      <c r="L8" s="139" t="s">
        <v>139</v>
      </c>
      <c r="M8" s="139"/>
      <c r="N8" s="139"/>
      <c r="O8" s="139"/>
      <c r="P8" s="139"/>
      <c r="Q8" s="139"/>
      <c r="R8" s="139"/>
      <c r="S8" s="139" t="s">
        <v>140</v>
      </c>
      <c r="T8" s="139"/>
      <c r="U8" s="139"/>
      <c r="V8" s="139"/>
      <c r="W8" s="139"/>
      <c r="X8" s="139"/>
      <c r="Y8" s="139"/>
      <c r="Z8" s="139"/>
      <c r="AA8" s="139"/>
      <c r="AB8" s="139"/>
      <c r="AC8" s="139" t="s">
        <v>141</v>
      </c>
      <c r="AD8" s="139"/>
      <c r="AE8" s="139"/>
      <c r="AF8" s="139"/>
      <c r="AG8" s="139"/>
      <c r="AH8" s="139"/>
      <c r="AI8" s="139"/>
      <c r="AJ8" s="145" t="s">
        <v>34</v>
      </c>
      <c r="AK8" s="146"/>
      <c r="AL8" s="146"/>
      <c r="AM8" s="160"/>
      <c r="AN8" s="146"/>
      <c r="AO8" s="146"/>
      <c r="AP8" s="146"/>
      <c r="AQ8" s="146"/>
      <c r="AR8" s="146"/>
      <c r="AS8" s="146"/>
      <c r="AT8" s="146"/>
      <c r="AU8" s="146"/>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89.25" customHeight="1">
      <c r="A9" s="140" t="s">
        <v>0</v>
      </c>
      <c r="B9" s="138" t="s">
        <v>13</v>
      </c>
      <c r="C9" s="138" t="s">
        <v>235</v>
      </c>
      <c r="D9" s="138" t="s">
        <v>2</v>
      </c>
      <c r="E9" s="136" t="s">
        <v>3</v>
      </c>
      <c r="F9" s="136" t="s">
        <v>41</v>
      </c>
      <c r="G9" s="138" t="s">
        <v>1</v>
      </c>
      <c r="H9" s="136" t="s">
        <v>49</v>
      </c>
      <c r="I9" s="136" t="s">
        <v>251</v>
      </c>
      <c r="J9" s="136" t="s">
        <v>252</v>
      </c>
      <c r="K9" s="136" t="s">
        <v>134</v>
      </c>
      <c r="L9" s="136" t="s">
        <v>33</v>
      </c>
      <c r="M9" s="138" t="s">
        <v>5</v>
      </c>
      <c r="N9" s="136" t="s">
        <v>86</v>
      </c>
      <c r="O9" s="136" t="s">
        <v>91</v>
      </c>
      <c r="P9" s="136" t="s">
        <v>44</v>
      </c>
      <c r="Q9" s="138" t="s">
        <v>5</v>
      </c>
      <c r="R9" s="136" t="s">
        <v>47</v>
      </c>
      <c r="S9" s="137" t="s">
        <v>11</v>
      </c>
      <c r="T9" s="136" t="s">
        <v>160</v>
      </c>
      <c r="U9" s="136" t="s">
        <v>212</v>
      </c>
      <c r="V9" s="136" t="s">
        <v>12</v>
      </c>
      <c r="W9" s="136" t="s">
        <v>8</v>
      </c>
      <c r="X9" s="136"/>
      <c r="Y9" s="136"/>
      <c r="Z9" s="136"/>
      <c r="AA9" s="136"/>
      <c r="AB9" s="136"/>
      <c r="AC9" s="137" t="s">
        <v>137</v>
      </c>
      <c r="AD9" s="137" t="s">
        <v>45</v>
      </c>
      <c r="AE9" s="137" t="s">
        <v>5</v>
      </c>
      <c r="AF9" s="137" t="s">
        <v>46</v>
      </c>
      <c r="AG9" s="137" t="s">
        <v>5</v>
      </c>
      <c r="AH9" s="137" t="s">
        <v>48</v>
      </c>
      <c r="AI9" s="137" t="s">
        <v>29</v>
      </c>
      <c r="AJ9" s="136" t="s">
        <v>34</v>
      </c>
      <c r="AK9" s="136" t="s">
        <v>35</v>
      </c>
      <c r="AL9" s="136" t="s">
        <v>36</v>
      </c>
      <c r="AM9" s="157" t="s">
        <v>37</v>
      </c>
      <c r="AN9" s="136" t="s">
        <v>223</v>
      </c>
      <c r="AO9" s="136" t="s">
        <v>38</v>
      </c>
      <c r="AP9" s="136" t="s">
        <v>37</v>
      </c>
      <c r="AQ9" s="136" t="s">
        <v>224</v>
      </c>
      <c r="AR9" s="136" t="s">
        <v>38</v>
      </c>
      <c r="AS9" s="136" t="s">
        <v>37</v>
      </c>
      <c r="AT9" s="136" t="s">
        <v>225</v>
      </c>
      <c r="AU9" s="136"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94.5" customHeight="1">
      <c r="A10" s="140"/>
      <c r="B10" s="138"/>
      <c r="C10" s="138"/>
      <c r="D10" s="138"/>
      <c r="E10" s="136"/>
      <c r="F10" s="136"/>
      <c r="G10" s="138"/>
      <c r="H10" s="136"/>
      <c r="I10" s="136"/>
      <c r="J10" s="136"/>
      <c r="K10" s="136"/>
      <c r="L10" s="136"/>
      <c r="M10" s="138"/>
      <c r="N10" s="136"/>
      <c r="O10" s="136"/>
      <c r="P10" s="138"/>
      <c r="Q10" s="138"/>
      <c r="R10" s="136"/>
      <c r="S10" s="137"/>
      <c r="T10" s="136"/>
      <c r="U10" s="136"/>
      <c r="V10" s="136"/>
      <c r="W10" s="140" t="s">
        <v>13</v>
      </c>
      <c r="X10" s="140" t="s">
        <v>17</v>
      </c>
      <c r="Y10" s="140" t="s">
        <v>28</v>
      </c>
      <c r="Z10" s="140" t="s">
        <v>18</v>
      </c>
      <c r="AA10" s="140" t="s">
        <v>21</v>
      </c>
      <c r="AB10" s="140" t="s">
        <v>24</v>
      </c>
      <c r="AC10" s="137"/>
      <c r="AD10" s="137"/>
      <c r="AE10" s="137"/>
      <c r="AF10" s="137"/>
      <c r="AG10" s="137"/>
      <c r="AH10" s="137"/>
      <c r="AI10" s="137"/>
      <c r="AJ10" s="136"/>
      <c r="AK10" s="136"/>
      <c r="AL10" s="136"/>
      <c r="AM10" s="157"/>
      <c r="AN10" s="136"/>
      <c r="AO10" s="136"/>
      <c r="AP10" s="136"/>
      <c r="AQ10" s="136"/>
      <c r="AR10" s="136"/>
      <c r="AS10" s="136"/>
      <c r="AT10" s="136"/>
      <c r="AU10" s="136"/>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s="177" customFormat="1" ht="212.25" customHeight="1">
      <c r="A11" s="278">
        <v>1</v>
      </c>
      <c r="B11" s="278" t="s">
        <v>230</v>
      </c>
      <c r="C11" s="280" t="s">
        <v>239</v>
      </c>
      <c r="D11" s="254" t="s">
        <v>131</v>
      </c>
      <c r="E11" s="256" t="s">
        <v>256</v>
      </c>
      <c r="F11" s="256" t="s">
        <v>257</v>
      </c>
      <c r="G11" s="254" t="s">
        <v>280</v>
      </c>
      <c r="H11" s="256" t="s">
        <v>122</v>
      </c>
      <c r="I11" s="163" t="s">
        <v>246</v>
      </c>
      <c r="J11" s="163" t="s">
        <v>246</v>
      </c>
      <c r="K11" s="258">
        <v>10</v>
      </c>
      <c r="L11" s="260" t="str">
        <f>IF(K11&lt;=0,"",IF(K11&lt;=2,"Muy Baja",IF(K11&lt;=24,"Baja",IF(K11&lt;=500,"Media",IF(K11&lt;=5000,"Alta","Muy Alta")))))</f>
        <v>Baja</v>
      </c>
      <c r="M11" s="262">
        <f>IF(L11="","",IF(L11="Muy Baja",0.2,IF(L11="Baja",0.4,IF(L11="Media",0.6,IF(L11="Alta",0.8,IF(L11="Muy Alta",1,))))))</f>
        <v>0.4</v>
      </c>
      <c r="N11" s="264" t="s">
        <v>152</v>
      </c>
      <c r="O11" s="164" t="str">
        <f>IF(NOT(ISERROR(MATCH(N11,'[1]Tabla Impacto'!$B$221:$B$223,0))),'[1]Tabla Impacto'!$F$223&amp;"Por favor no seleccionar los criterios de impacto(Afectación Económica o presupuestal y Pérdida Reputacional)",N11)</f>
        <v xml:space="preserve">     El riesgo afecta la imagen de la entidad con algunos usuarios de relevancia frente al logro de los objetivos</v>
      </c>
      <c r="P11" s="260" t="str">
        <f>IF(OR(O11='[1]Tabla Impacto'!$C$11,O11='[1]Tabla Impacto'!$D$11),"Leve",IF(OR(O11='[1]Tabla Impacto'!$C$12,O11='[1]Tabla Impacto'!$D$12),"Menor",IF(OR(O11='[1]Tabla Impacto'!$C$13,O11='[1]Tabla Impacto'!$D$13),"Moderado",IF(OR(O11='[1]Tabla Impacto'!$C$14,O11='[1]Tabla Impacto'!$D$14),"Mayor",IF(OR(O11='[1]Tabla Impacto'!$C$15,O11='[1]Tabla Impacto'!$D$15),"Catastrófico","")))))</f>
        <v>Moderado</v>
      </c>
      <c r="Q11" s="262">
        <f>IF(P11="","",IF(P11="Leve",0.2,IF(P11="Menor",0.4,IF(P11="Moderado",0.6,IF(P11="Mayor",0.8,IF(P11="Catastrófico",1,))))))</f>
        <v>0.6</v>
      </c>
      <c r="R11" s="285"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65">
        <v>1</v>
      </c>
      <c r="T11" s="166" t="s">
        <v>258</v>
      </c>
      <c r="U11" s="166" t="s">
        <v>260</v>
      </c>
      <c r="V11" s="167" t="str">
        <f t="shared" ref="V11:V16" si="0">IF(OR(W11="Preventivo",W11="Detectivo"),"Probabilidad",IF(W11="Correctivo","Impacto",""))</f>
        <v>Probabilidad</v>
      </c>
      <c r="W11" s="168" t="s">
        <v>14</v>
      </c>
      <c r="X11" s="168" t="s">
        <v>9</v>
      </c>
      <c r="Y11" s="169" t="str">
        <f>IF(AND(W11="Preventivo",X11="Automático"),"50%",IF(AND(W11="Preventivo",X11="Manual"),"40%",IF(AND(W11="Detectivo",X11="Automático"),"40%",IF(AND(W11="Detectivo",X11="Manual"),"30%",IF(AND(W11="Correctivo",X11="Automático"),"35%",IF(AND(W11="Correctivo",X11="Manual"),"25%",""))))))</f>
        <v>40%</v>
      </c>
      <c r="Z11" s="168" t="s">
        <v>19</v>
      </c>
      <c r="AA11" s="168" t="s">
        <v>22</v>
      </c>
      <c r="AB11" s="168" t="s">
        <v>118</v>
      </c>
      <c r="AC11" s="170">
        <f>IFERROR(IF(V11="Probabilidad",(M11-(+M11*Y11)),IF(V11="Impacto",M11,"")),"")</f>
        <v>0.24</v>
      </c>
      <c r="AD11" s="171" t="str">
        <f>IFERROR(IF(AC11="","",IF(AC11&lt;=0.2,"Muy Baja",IF(AC11&lt;=0.4,"Baja",IF(AC11&lt;=0.6,"Media",IF(AC11&lt;=0.8,"Alta","Muy Alta"))))),"")</f>
        <v>Baja</v>
      </c>
      <c r="AE11" s="169">
        <f>+AC11</f>
        <v>0.24</v>
      </c>
      <c r="AF11" s="171" t="str">
        <f>IFERROR(IF(AG11="","",IF(AG11&lt;=0.2,"Leve",IF(AG11&lt;=0.4,"Menor",IF(AG11&lt;=0.6,"Moderado",IF(AG11&lt;=0.8,"Mayor","Catastrófico"))))),"")</f>
        <v>Moderado</v>
      </c>
      <c r="AG11" s="169">
        <f>IFERROR(IF(V11="Impacto",(Q11-(+Q11*Y11)),IF(V11="Probabilidad",Q11,"")),"")</f>
        <v>0.6</v>
      </c>
      <c r="AH11" s="17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68" t="s">
        <v>32</v>
      </c>
      <c r="AJ11" s="162"/>
      <c r="AK11" s="162" t="s">
        <v>261</v>
      </c>
      <c r="AL11" s="173" t="s">
        <v>262</v>
      </c>
      <c r="AM11" s="174" t="s">
        <v>283</v>
      </c>
      <c r="AN11" s="199" t="s">
        <v>285</v>
      </c>
      <c r="AO11" s="175" t="s">
        <v>40</v>
      </c>
      <c r="AP11" s="176">
        <v>44789</v>
      </c>
      <c r="AQ11" s="199" t="s">
        <v>290</v>
      </c>
      <c r="AR11" s="175" t="s">
        <v>40</v>
      </c>
      <c r="AS11" s="176">
        <v>44866</v>
      </c>
      <c r="AT11" s="161" t="s">
        <v>300</v>
      </c>
      <c r="AU11" s="175" t="s">
        <v>39</v>
      </c>
    </row>
    <row r="12" spans="1:73" ht="263.25" customHeight="1">
      <c r="A12" s="279"/>
      <c r="B12" s="279"/>
      <c r="C12" s="281"/>
      <c r="D12" s="255"/>
      <c r="E12" s="257"/>
      <c r="F12" s="257"/>
      <c r="G12" s="255"/>
      <c r="H12" s="257"/>
      <c r="I12" s="180"/>
      <c r="J12" s="180"/>
      <c r="K12" s="259"/>
      <c r="L12" s="261"/>
      <c r="M12" s="263"/>
      <c r="N12" s="265"/>
      <c r="O12" s="183">
        <f>IF(NOT(ISERROR(MATCH(N12,_xlfn.ANCHORARRAY(I14),0))),#REF!&amp;"Por favor no seleccionar los criterios de impacto",N12)</f>
        <v>0</v>
      </c>
      <c r="P12" s="261"/>
      <c r="Q12" s="263"/>
      <c r="R12" s="286"/>
      <c r="S12" s="186">
        <v>2</v>
      </c>
      <c r="T12" s="187" t="s">
        <v>259</v>
      </c>
      <c r="U12" s="187" t="s">
        <v>291</v>
      </c>
      <c r="V12" s="188" t="str">
        <f t="shared" si="0"/>
        <v>Probabilidad</v>
      </c>
      <c r="W12" s="189" t="s">
        <v>14</v>
      </c>
      <c r="X12" s="189" t="s">
        <v>9</v>
      </c>
      <c r="Y12" s="190" t="str">
        <f t="shared" ref="Y12:Y16" si="1">IF(AND(W12="Preventivo",X12="Automático"),"50%",IF(AND(W12="Preventivo",X12="Manual"),"40%",IF(AND(W12="Detectivo",X12="Automático"),"40%",IF(AND(W12="Detectivo",X12="Manual"),"30%",IF(AND(W12="Correctivo",X12="Automático"),"35%",IF(AND(W12="Correctivo",X12="Manual"),"25%",""))))))</f>
        <v>40%</v>
      </c>
      <c r="Z12" s="189" t="s">
        <v>19</v>
      </c>
      <c r="AA12" s="189" t="s">
        <v>22</v>
      </c>
      <c r="AB12" s="189" t="s">
        <v>118</v>
      </c>
      <c r="AC12" s="191">
        <f>IFERROR(IF(AND(V11="Probabilidad",V12="Probabilidad"),(AE11-(+AE11*Y12)),IF(V12="Probabilidad",(M11-(+M11*Y12)),IF(V12="Impacto",AE11,""))),"")</f>
        <v>0.14399999999999999</v>
      </c>
      <c r="AD12" s="192" t="str">
        <f t="shared" ref="AD12" si="2">IFERROR(IF(AC12="","",IF(AC12&lt;=0.2,"Muy Baja",IF(AC12&lt;=0.4,"Baja",IF(AC12&lt;=0.6,"Media",IF(AC12&lt;=0.8,"Alta","Muy Alta"))))),"")</f>
        <v>Muy Baja</v>
      </c>
      <c r="AE12" s="190">
        <f t="shared" ref="AE12" si="3">+AC12</f>
        <v>0.14399999999999999</v>
      </c>
      <c r="AF12" s="192" t="str">
        <f t="shared" ref="AF12" si="4">IFERROR(IF(AG12="","",IF(AG12&lt;=0.2,"Leve",IF(AG12&lt;=0.4,"Menor",IF(AG12&lt;=0.6,"Moderado",IF(AG12&lt;=0.8,"Mayor","Catastrófico"))))),"")</f>
        <v>Moderado</v>
      </c>
      <c r="AG12" s="190">
        <f>IFERROR(IF(AND(V11="Impacto",V12="Impacto"),(AG11-(+AG11*Y12)),IF(V12="Impacto",($M$10-(+$M$10*Y12)),IF(V12="Probabilidad",AG11,""))),"")</f>
        <v>0.6</v>
      </c>
      <c r="AH12" s="193" t="str">
        <f t="shared" ref="AH12" si="5">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89" t="s">
        <v>32</v>
      </c>
      <c r="AJ12" s="179"/>
      <c r="AK12" s="179" t="s">
        <v>261</v>
      </c>
      <c r="AL12" s="194" t="s">
        <v>262</v>
      </c>
      <c r="AM12" s="195" t="s">
        <v>283</v>
      </c>
      <c r="AN12" s="199" t="s">
        <v>284</v>
      </c>
      <c r="AO12" s="196" t="s">
        <v>40</v>
      </c>
      <c r="AP12" s="176">
        <v>44789</v>
      </c>
      <c r="AQ12" s="199" t="s">
        <v>292</v>
      </c>
      <c r="AR12" s="196" t="s">
        <v>40</v>
      </c>
      <c r="AS12" s="197">
        <v>44866</v>
      </c>
      <c r="AT12" s="178" t="s">
        <v>301</v>
      </c>
      <c r="AU12" s="196" t="s">
        <v>39</v>
      </c>
    </row>
    <row r="13" spans="1:73" ht="192" customHeight="1">
      <c r="A13" s="198">
        <v>2</v>
      </c>
      <c r="B13" s="198" t="s">
        <v>227</v>
      </c>
      <c r="C13" s="198" t="s">
        <v>239</v>
      </c>
      <c r="D13" s="178" t="s">
        <v>131</v>
      </c>
      <c r="E13" s="179" t="s">
        <v>263</v>
      </c>
      <c r="F13" s="179" t="s">
        <v>264</v>
      </c>
      <c r="G13" s="162" t="s">
        <v>281</v>
      </c>
      <c r="H13" s="179" t="s">
        <v>124</v>
      </c>
      <c r="I13" s="178" t="s">
        <v>246</v>
      </c>
      <c r="J13" s="178" t="s">
        <v>246</v>
      </c>
      <c r="K13" s="181">
        <v>8</v>
      </c>
      <c r="L13" s="182" t="str">
        <f>IF(K13&lt;=0,"",IF(K13&lt;=2,"Muy Baja",IF(K13&lt;=24,"Baja",IF(K13&lt;=500,"Media",IF(K13&lt;=5000,"Alta","Muy Alta")))))</f>
        <v>Baja</v>
      </c>
      <c r="M13" s="183">
        <f>IF(L13="","",IF(L13="Muy Baja",0.2,IF(L13="Baja",0.4,IF(L13="Media",0.6,IF(L13="Alta",0.8,IF(L13="Muy Alta",1,))))))</f>
        <v>0.4</v>
      </c>
      <c r="N13" s="184" t="s">
        <v>153</v>
      </c>
      <c r="O13" s="183" t="str">
        <f>IF(NOT(ISERROR(MATCH(N13,'[1]Tabla Impacto'!$B$221:$B$223,0))),'[1]Tabla Impacto'!$F$223&amp;"Por favor no seleccionar los criterios de impacto(Afectación Económica o presupuestal y Pérdida Reputacional)",N13)</f>
        <v xml:space="preserve">     El riesgo afecta la imagen de de la entidad con efecto publicitario sostenido a nivel de sector administrativo, nivel departamental o municipal</v>
      </c>
      <c r="P13" s="182" t="str">
        <f>IF(OR(O13='[1]Tabla Impacto'!$C$11,O13='[1]Tabla Impacto'!$D$11),"Leve",IF(OR(O13='[1]Tabla Impacto'!$C$12,O13='[1]Tabla Impacto'!$D$12),"Menor",IF(OR(O13='[1]Tabla Impacto'!$C$13,O13='[1]Tabla Impacto'!$D$13),"Moderado",IF(OR(O13='[1]Tabla Impacto'!$C$14,O13='[1]Tabla Impacto'!$D$14),"Mayor",IF(OR(O13='[1]Tabla Impacto'!$C$15,O13='[1]Tabla Impacto'!$D$15),"Catastrófico","")))))</f>
        <v>Mayor</v>
      </c>
      <c r="Q13" s="183">
        <f>IF(P13="","",IF(P13="Leve",0.2,IF(P13="Menor",0.4,IF(P13="Moderado",0.6,IF(P13="Mayor",0.8,IF(P13="Catastrófico",1,))))))</f>
        <v>0.8</v>
      </c>
      <c r="R13" s="185"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86">
        <v>1</v>
      </c>
      <c r="T13" s="187" t="s">
        <v>267</v>
      </c>
      <c r="U13" s="187" t="s">
        <v>268</v>
      </c>
      <c r="V13" s="188" t="str">
        <f t="shared" si="0"/>
        <v>Probabilidad</v>
      </c>
      <c r="W13" s="189" t="s">
        <v>14</v>
      </c>
      <c r="X13" s="189" t="s">
        <v>9</v>
      </c>
      <c r="Y13" s="190" t="str">
        <f t="shared" si="1"/>
        <v>40%</v>
      </c>
      <c r="Z13" s="189" t="s">
        <v>19</v>
      </c>
      <c r="AA13" s="189" t="s">
        <v>22</v>
      </c>
      <c r="AB13" s="189" t="s">
        <v>118</v>
      </c>
      <c r="AC13" s="191">
        <f>IFERROR(IF(V13="Probabilidad",(M13-(+M13*Y13)),IF(V13="Impacto",M13,"")),"")</f>
        <v>0.24</v>
      </c>
      <c r="AD13" s="192" t="str">
        <f>IFERROR(IF(AC13="","",IF(AC13&lt;=0.2,"Muy Baja",IF(AC13&lt;=0.4,"Baja",IF(AC13&lt;=0.6,"Media",IF(AC13&lt;=0.8,"Alta","Muy Alta"))))),"")</f>
        <v>Baja</v>
      </c>
      <c r="AE13" s="190">
        <f>+AC13</f>
        <v>0.24</v>
      </c>
      <c r="AF13" s="192" t="str">
        <f>IFERROR(IF(AG13="","",IF(AG13&lt;=0.2,"Leve",IF(AG13&lt;=0.4,"Menor",IF(AG13&lt;=0.6,"Moderado",IF(AG13&lt;=0.8,"Mayor","Catastrófico"))))),"")</f>
        <v>Mayor</v>
      </c>
      <c r="AG13" s="190">
        <f>IFERROR(IF(V13="Impacto",(Q13-(+Q13*Y13)),IF(V13="Probabilidad",Q13,"")),"")</f>
        <v>0.8</v>
      </c>
      <c r="AH13" s="193"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189" t="s">
        <v>135</v>
      </c>
      <c r="AJ13" s="179"/>
      <c r="AK13" s="179" t="s">
        <v>261</v>
      </c>
      <c r="AL13" s="194" t="s">
        <v>262</v>
      </c>
      <c r="AM13" s="195" t="s">
        <v>283</v>
      </c>
      <c r="AN13" s="178" t="s">
        <v>286</v>
      </c>
      <c r="AO13" s="196" t="s">
        <v>40</v>
      </c>
      <c r="AP13" s="176">
        <v>44789</v>
      </c>
      <c r="AQ13" s="200" t="s">
        <v>293</v>
      </c>
      <c r="AR13" s="196" t="s">
        <v>40</v>
      </c>
      <c r="AS13" s="197">
        <v>44866</v>
      </c>
      <c r="AT13" s="178" t="s">
        <v>302</v>
      </c>
      <c r="AU13" s="196" t="s">
        <v>39</v>
      </c>
    </row>
    <row r="14" spans="1:73" ht="172.9" customHeight="1">
      <c r="A14" s="198">
        <v>3</v>
      </c>
      <c r="B14" s="198" t="s">
        <v>230</v>
      </c>
      <c r="C14" s="198" t="s">
        <v>239</v>
      </c>
      <c r="D14" s="178" t="s">
        <v>131</v>
      </c>
      <c r="E14" s="179" t="s">
        <v>265</v>
      </c>
      <c r="F14" s="179" t="s">
        <v>266</v>
      </c>
      <c r="G14" s="162" t="s">
        <v>282</v>
      </c>
      <c r="H14" s="179" t="s">
        <v>122</v>
      </c>
      <c r="I14" s="178" t="s">
        <v>246</v>
      </c>
      <c r="J14" s="178" t="s">
        <v>246</v>
      </c>
      <c r="K14" s="179">
        <v>8</v>
      </c>
      <c r="L14" s="182" t="str">
        <f>IF(K14&lt;=0,"",IF(K14&lt;=2,"Muy Baja",IF(K14&lt;=24,"Baja",IF(K14&lt;=500,"Media",IF(K14&lt;=5000,"Alta","Muy Alta")))))</f>
        <v>Baja</v>
      </c>
      <c r="M14" s="183">
        <f>IF(L14="","",IF(L14="Muy Baja",0.2,IF(L14="Baja",0.4,IF(L14="Media",0.6,IF(L14="Alta",0.8,IF(L14="Muy Alta",1,))))))</f>
        <v>0.4</v>
      </c>
      <c r="N14" s="184" t="s">
        <v>153</v>
      </c>
      <c r="O14" s="183" t="str">
        <f>IF(NOT(ISERROR(MATCH(N14,'[1]Tabla Impacto'!$B$221:$B$223,0))),'[1]Tabla Impacto'!$F$223&amp;"Por favor no seleccionar los criterios de impacto(Afectación Económica o presupuestal y Pérdida Reputacional)",N14)</f>
        <v xml:space="preserve">     El riesgo afecta la imagen de de la entidad con efecto publicitario sostenido a nivel de sector administrativo, nivel departamental o municipal</v>
      </c>
      <c r="P14" s="182" t="str">
        <f>IF(OR(O14='[1]Tabla Impacto'!$C$11,O14='[1]Tabla Impacto'!$D$11),"Leve",IF(OR(O14='[1]Tabla Impacto'!$C$12,O14='[1]Tabla Impacto'!$D$12),"Menor",IF(OR(O14='[1]Tabla Impacto'!$C$13,O14='[1]Tabla Impacto'!$D$13),"Moderado",IF(OR(O14='[1]Tabla Impacto'!$C$14,O14='[1]Tabla Impacto'!$D$14),"Mayor",IF(OR(O14='[1]Tabla Impacto'!$C$15,O14='[1]Tabla Impacto'!$D$15),"Catastrófico","")))))</f>
        <v>Mayor</v>
      </c>
      <c r="Q14" s="183">
        <f>IF(P14="","",IF(P14="Leve",0.2,IF(P14="Menor",0.4,IF(P14="Moderado",0.6,IF(P14="Mayor",0.8,IF(P14="Catastrófico",1,))))))</f>
        <v>0.8</v>
      </c>
      <c r="R14" s="182"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Alto</v>
      </c>
      <c r="S14" s="186"/>
      <c r="T14" s="187" t="s">
        <v>269</v>
      </c>
      <c r="U14" s="187" t="s">
        <v>270</v>
      </c>
      <c r="V14" s="188" t="str">
        <f t="shared" si="0"/>
        <v>Probabilidad</v>
      </c>
      <c r="W14" s="189" t="s">
        <v>14</v>
      </c>
      <c r="X14" s="189" t="s">
        <v>10</v>
      </c>
      <c r="Y14" s="190" t="str">
        <f t="shared" si="1"/>
        <v>50%</v>
      </c>
      <c r="Z14" s="189" t="s">
        <v>19</v>
      </c>
      <c r="AA14" s="189" t="s">
        <v>22</v>
      </c>
      <c r="AB14" s="189" t="s">
        <v>118</v>
      </c>
      <c r="AC14" s="191">
        <f>IFERROR(IF(V14="Probabilidad",(M14-(+M14*Y14)),IF(V14="Impacto",M14,"")),"")</f>
        <v>0.2</v>
      </c>
      <c r="AD14" s="192" t="str">
        <f>IFERROR(IF(AC14="","",IF(AC14&lt;=0.2,"Muy Baja",IF(AC14&lt;=0.4,"Baja",IF(AC14&lt;=0.6,"Media",IF(AC14&lt;=0.8,"Alta","Muy Alta"))))),"")</f>
        <v>Muy Baja</v>
      </c>
      <c r="AE14" s="190">
        <f>+AC14</f>
        <v>0.2</v>
      </c>
      <c r="AF14" s="192" t="str">
        <f>IFERROR(IF(AG14="","",IF(AG14&lt;=0.2,"Leve",IF(AG14&lt;=0.4,"Menor",IF(AG14&lt;=0.6,"Moderado",IF(AG14&lt;=0.8,"Mayor","Catastrófico"))))),"")</f>
        <v>Mayor</v>
      </c>
      <c r="AG14" s="190">
        <f>IFERROR(IF(V14="Impacto",(Q14-(+Q14*Y14)),IF(V14="Probabilidad",Q14,"")),"")</f>
        <v>0.8</v>
      </c>
      <c r="AH14" s="19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89"/>
      <c r="AJ14" s="179" t="s">
        <v>271</v>
      </c>
      <c r="AK14" s="179" t="s">
        <v>261</v>
      </c>
      <c r="AL14" s="194" t="s">
        <v>262</v>
      </c>
      <c r="AM14" s="195" t="s">
        <v>283</v>
      </c>
      <c r="AN14" s="178" t="s">
        <v>287</v>
      </c>
      <c r="AO14" s="196" t="s">
        <v>40</v>
      </c>
      <c r="AP14" s="176">
        <v>44789</v>
      </c>
      <c r="AQ14" s="200" t="s">
        <v>294</v>
      </c>
      <c r="AR14" s="196" t="s">
        <v>40</v>
      </c>
      <c r="AS14" s="441">
        <v>44866</v>
      </c>
      <c r="AT14" s="438" t="s">
        <v>303</v>
      </c>
      <c r="AU14" s="196" t="s">
        <v>39</v>
      </c>
    </row>
    <row r="15" spans="1:73" ht="172.9" customHeight="1">
      <c r="A15" s="287">
        <v>4</v>
      </c>
      <c r="B15" s="287" t="s">
        <v>232</v>
      </c>
      <c r="C15" s="287" t="s">
        <v>239</v>
      </c>
      <c r="D15" s="266" t="s">
        <v>131</v>
      </c>
      <c r="E15" s="268" t="s">
        <v>272</v>
      </c>
      <c r="F15" s="268" t="s">
        <v>273</v>
      </c>
      <c r="G15" s="254" t="s">
        <v>295</v>
      </c>
      <c r="H15" s="268" t="s">
        <v>127</v>
      </c>
      <c r="I15" s="266" t="s">
        <v>244</v>
      </c>
      <c r="J15" s="266" t="s">
        <v>246</v>
      </c>
      <c r="K15" s="268">
        <v>30</v>
      </c>
      <c r="L15" s="270" t="s">
        <v>52</v>
      </c>
      <c r="M15" s="272">
        <f>IF(L15="","",IF(L15="Muy Baja",0.2,IF(L15="Baja",0.4,IF(L15="Media",0.6,IF(L15="Alta",0.8,IF(L15="Muy Alta",1,))))))</f>
        <v>0.4</v>
      </c>
      <c r="N15" s="274" t="s">
        <v>152</v>
      </c>
      <c r="O15" s="183"/>
      <c r="P15" s="270" t="s">
        <v>80</v>
      </c>
      <c r="Q15" s="272">
        <f>IF(P15="","",IF(P15="Leve",0.2,IF(P15="Menor",0.4,IF(P15="Moderado",0.6,IF(P15="Mayor",0.8,IF(P15="Catastrófico",1,))))))</f>
        <v>0.6</v>
      </c>
      <c r="R15" s="283"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86">
        <v>1</v>
      </c>
      <c r="T15" s="187" t="s">
        <v>274</v>
      </c>
      <c r="U15" s="187" t="s">
        <v>275</v>
      </c>
      <c r="V15" s="188" t="str">
        <f t="shared" si="0"/>
        <v>Probabilidad</v>
      </c>
      <c r="W15" s="189" t="s">
        <v>14</v>
      </c>
      <c r="X15" s="189" t="s">
        <v>9</v>
      </c>
      <c r="Y15" s="190" t="str">
        <f t="shared" si="1"/>
        <v>40%</v>
      </c>
      <c r="Z15" s="189" t="s">
        <v>19</v>
      </c>
      <c r="AA15" s="189" t="s">
        <v>23</v>
      </c>
      <c r="AB15" s="189" t="s">
        <v>118</v>
      </c>
      <c r="AC15" s="191"/>
      <c r="AD15" s="276" t="str">
        <f>IFERROR(IF(AE15="","",IF(AE15&lt;=0.2,"Leve",IF(AE15&lt;=0.4,"Menor",IF(AE15&lt;=0.6,"Moderado",IF(AE15&lt;=0.8,"Mayor","Catastrófico"))))),"")</f>
        <v>Leve</v>
      </c>
      <c r="AE15" s="190">
        <f>+AC15</f>
        <v>0</v>
      </c>
      <c r="AF15" s="276" t="str">
        <f>IFERROR(IF(AG15="","",IF(AG15&lt;=0.2,"Leve",IF(AG15&lt;=0.4,"Menor",IF(AG15&lt;=0.6,"Moderado",IF(AG15&lt;=0.8,"Mayor","Catastrófico"))))),"")</f>
        <v>Moderado</v>
      </c>
      <c r="AG15" s="190">
        <f>IFERROR(IF(V15="Impacto",(Q15-(+Q15*Y15)),IF(V15="Probabilidad",Q15,"")),"")</f>
        <v>0.6</v>
      </c>
      <c r="AH15" s="276" t="str">
        <f>IFERROR(IF(AI15="","",IF(AI15&lt;=0.2,"Leve",IF(AI15&lt;=0.4,"Menor",IF(AI15&lt;=0.6,"Moderado",IF(AI15&lt;=0.8,"Mayor","Catastrófico"))))),"")</f>
        <v/>
      </c>
      <c r="AI15" s="189"/>
      <c r="AJ15" s="179"/>
      <c r="AK15" s="179"/>
      <c r="AL15" s="194" t="s">
        <v>276</v>
      </c>
      <c r="AM15" s="195" t="s">
        <v>283</v>
      </c>
      <c r="AN15" s="178" t="s">
        <v>289</v>
      </c>
      <c r="AO15" s="196" t="s">
        <v>40</v>
      </c>
      <c r="AP15" s="176">
        <v>44789</v>
      </c>
      <c r="AQ15" s="200" t="s">
        <v>296</v>
      </c>
      <c r="AR15" s="196" t="s">
        <v>40</v>
      </c>
      <c r="AS15" s="441">
        <v>44866</v>
      </c>
      <c r="AT15" s="178" t="s">
        <v>304</v>
      </c>
      <c r="AU15" s="439" t="s">
        <v>39</v>
      </c>
    </row>
    <row r="16" spans="1:73" ht="172.9" customHeight="1">
      <c r="A16" s="288"/>
      <c r="B16" s="288"/>
      <c r="C16" s="288"/>
      <c r="D16" s="267"/>
      <c r="E16" s="269"/>
      <c r="F16" s="269"/>
      <c r="G16" s="255"/>
      <c r="H16" s="269"/>
      <c r="I16" s="267"/>
      <c r="J16" s="267"/>
      <c r="K16" s="269"/>
      <c r="L16" s="271"/>
      <c r="M16" s="273"/>
      <c r="N16" s="275"/>
      <c r="O16" s="183"/>
      <c r="P16" s="271"/>
      <c r="Q16" s="273"/>
      <c r="R16" s="284"/>
      <c r="S16" s="186">
        <v>2</v>
      </c>
      <c r="T16" s="187" t="s">
        <v>277</v>
      </c>
      <c r="U16" s="187" t="s">
        <v>278</v>
      </c>
      <c r="V16" s="188" t="str">
        <f t="shared" si="0"/>
        <v>Probabilidad</v>
      </c>
      <c r="W16" s="189" t="s">
        <v>14</v>
      </c>
      <c r="X16" s="189" t="s">
        <v>9</v>
      </c>
      <c r="Y16" s="190" t="str">
        <f t="shared" si="1"/>
        <v>40%</v>
      </c>
      <c r="Z16" s="189" t="s">
        <v>19</v>
      </c>
      <c r="AA16" s="189" t="s">
        <v>23</v>
      </c>
      <c r="AB16" s="189" t="s">
        <v>118</v>
      </c>
      <c r="AC16" s="191"/>
      <c r="AD16" s="277"/>
      <c r="AE16" s="190">
        <f>+AC16</f>
        <v>0</v>
      </c>
      <c r="AF16" s="277"/>
      <c r="AG16" s="190">
        <f>IFERROR(IF(V16="Impacto",(Q16-(+Q16*Y16)),IF(V16="Probabilidad",Q16,"")),"")</f>
        <v>0</v>
      </c>
      <c r="AH16" s="277"/>
      <c r="AI16" s="189"/>
      <c r="AJ16" s="179"/>
      <c r="AK16" s="179"/>
      <c r="AL16" s="195" t="s">
        <v>279</v>
      </c>
      <c r="AM16" s="195" t="s">
        <v>283</v>
      </c>
      <c r="AN16" s="178" t="s">
        <v>288</v>
      </c>
      <c r="AO16" s="196" t="s">
        <v>40</v>
      </c>
      <c r="AP16" s="176">
        <v>44789</v>
      </c>
      <c r="AQ16" s="200" t="s">
        <v>297</v>
      </c>
      <c r="AR16" s="196" t="s">
        <v>40</v>
      </c>
      <c r="AS16" s="441">
        <v>44866</v>
      </c>
      <c r="AT16" s="178" t="s">
        <v>305</v>
      </c>
      <c r="AU16" s="440"/>
    </row>
    <row r="17" spans="1:43" ht="49.5" customHeight="1">
      <c r="A17" s="115"/>
      <c r="B17" s="129"/>
      <c r="C17" s="129"/>
      <c r="D17" s="141" t="s">
        <v>130</v>
      </c>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3"/>
    </row>
    <row r="19" spans="1:43">
      <c r="A19" s="116"/>
      <c r="B19" s="117"/>
      <c r="C19" s="117"/>
      <c r="D19" s="117"/>
      <c r="E19" s="117"/>
      <c r="F19" s="117"/>
      <c r="G19" s="117"/>
      <c r="H19" s="1"/>
      <c r="I19" s="1"/>
      <c r="J19" s="1"/>
      <c r="L19" s="120"/>
      <c r="M19" s="117"/>
      <c r="N19" s="117"/>
      <c r="O19" s="117"/>
      <c r="P19" s="117"/>
      <c r="Q19" s="117"/>
      <c r="R19" s="117"/>
      <c r="S19" s="117"/>
      <c r="T19" s="117"/>
      <c r="U19" s="117"/>
      <c r="V19" s="121"/>
      <c r="W19" s="121"/>
      <c r="X19" s="117"/>
      <c r="Y19" s="117"/>
      <c r="Z19" s="117"/>
      <c r="AA19" s="117"/>
      <c r="AB19" s="117"/>
      <c r="AC19" s="117"/>
      <c r="AD19" s="117"/>
      <c r="AE19" s="117"/>
      <c r="AF19" s="117"/>
      <c r="AG19" s="117"/>
      <c r="AH19" s="117"/>
      <c r="AI19" s="122"/>
      <c r="AJ19" s="122"/>
      <c r="AK19" s="117"/>
      <c r="AL19" s="117"/>
      <c r="AM19" s="117"/>
      <c r="AN19" s="117"/>
      <c r="AO19" s="117"/>
      <c r="AP19" s="117"/>
      <c r="AQ19" s="117"/>
    </row>
    <row r="20" spans="1:43" ht="18" customHeight="1">
      <c r="A20" s="245" t="s">
        <v>299</v>
      </c>
      <c r="B20" s="246"/>
      <c r="C20" s="246"/>
      <c r="D20" s="246"/>
      <c r="E20" s="246"/>
      <c r="F20" s="246"/>
      <c r="G20" s="247"/>
      <c r="H20" s="1"/>
      <c r="I20" s="1"/>
      <c r="J20" s="1"/>
      <c r="K20" s="242" t="s">
        <v>298</v>
      </c>
      <c r="L20" s="243"/>
      <c r="M20" s="243"/>
      <c r="N20" s="244"/>
      <c r="O20" s="117"/>
      <c r="P20" s="117"/>
      <c r="Q20" s="117"/>
      <c r="R20" s="117"/>
      <c r="S20" s="117"/>
      <c r="T20" s="117"/>
      <c r="U20" s="122"/>
      <c r="V20" s="121"/>
      <c r="W20" s="121"/>
      <c r="X20" s="117"/>
      <c r="Y20" s="121"/>
      <c r="Z20" s="121"/>
      <c r="AA20" s="117"/>
      <c r="AB20" s="117"/>
      <c r="AC20" s="117"/>
      <c r="AD20" s="117"/>
      <c r="AE20" s="117"/>
      <c r="AF20" s="117"/>
      <c r="AG20" s="117"/>
      <c r="AH20" s="117"/>
      <c r="AI20" s="117"/>
      <c r="AJ20" s="117"/>
      <c r="AK20" s="117"/>
      <c r="AL20" s="117"/>
      <c r="AM20" s="117"/>
      <c r="AN20" s="117"/>
      <c r="AO20" s="117"/>
      <c r="AP20" s="117"/>
      <c r="AQ20" s="117"/>
    </row>
    <row r="21" spans="1:43" ht="17.25" thickBot="1">
      <c r="A21"/>
      <c r="B21"/>
      <c r="C21"/>
      <c r="D21"/>
      <c r="E21"/>
      <c r="F21"/>
      <c r="G21"/>
      <c r="H21" s="1"/>
      <c r="I21" s="1"/>
      <c r="J21" s="1"/>
      <c r="L21" s="118" t="str">
        <f>+IFERROR(VLOOKUP(H21,$H$176:$L$180,3,FALSE)*VLOOKUP(K21,$K$176:$L$180,3,FALSE),"")</f>
        <v/>
      </c>
      <c r="M21"/>
      <c r="N21"/>
      <c r="O21"/>
      <c r="P21"/>
      <c r="Q21"/>
      <c r="R21"/>
      <c r="S21"/>
      <c r="T21"/>
      <c r="U21"/>
      <c r="V21" s="118"/>
      <c r="W21" s="119"/>
      <c r="X21"/>
      <c r="Y21" s="119"/>
      <c r="Z21" s="119"/>
      <c r="AA21" s="125"/>
      <c r="AB21" s="125"/>
      <c r="AC21" s="125"/>
      <c r="AD21" s="125"/>
      <c r="AE21" s="123"/>
      <c r="AF21" s="123"/>
      <c r="AG21" s="125"/>
      <c r="AH21" s="126"/>
      <c r="AI21"/>
      <c r="AJ21" s="125"/>
      <c r="AK21" s="125"/>
      <c r="AL21" s="125"/>
      <c r="AM21" s="125"/>
      <c r="AN21" s="125"/>
      <c r="AO21"/>
      <c r="AP21" s="125"/>
      <c r="AQ21"/>
    </row>
    <row r="22" spans="1:43" ht="17.45" customHeight="1" thickTop="1" thickBot="1">
      <c r="A22" s="248" t="s">
        <v>216</v>
      </c>
      <c r="B22" s="249"/>
      <c r="C22" s="249"/>
      <c r="D22" s="249"/>
      <c r="E22" s="249"/>
      <c r="F22" s="250"/>
      <c r="G22" s="144" t="s">
        <v>217</v>
      </c>
      <c r="H22" s="248" t="s">
        <v>218</v>
      </c>
      <c r="I22" s="249"/>
      <c r="J22" s="249"/>
      <c r="K22" s="249"/>
      <c r="L22" s="249"/>
      <c r="M22" s="249"/>
      <c r="N22" s="250"/>
      <c r="O22" s="128"/>
      <c r="P22" s="251" t="s">
        <v>219</v>
      </c>
      <c r="Q22" s="252"/>
      <c r="R22" s="253"/>
      <c r="S22" s="248" t="s">
        <v>220</v>
      </c>
      <c r="T22" s="249"/>
      <c r="U22" s="249"/>
      <c r="V22" s="250"/>
      <c r="W22" s="251">
        <v>1</v>
      </c>
      <c r="X22" s="252"/>
      <c r="Y22" s="252"/>
      <c r="Z22" s="253"/>
      <c r="AA22" s="127"/>
      <c r="AB22" s="127"/>
      <c r="AC22" s="127"/>
      <c r="AD22" s="127"/>
      <c r="AE22" s="127"/>
      <c r="AF22" s="127"/>
      <c r="AG22" s="127"/>
      <c r="AH22" s="127"/>
      <c r="AI22" s="127"/>
      <c r="AJ22" s="127"/>
      <c r="AK22" s="127"/>
      <c r="AL22" s="127"/>
      <c r="AM22" s="127"/>
      <c r="AN22" s="127"/>
      <c r="AO22" s="127"/>
      <c r="AP22" s="127"/>
      <c r="AQ22" s="124"/>
    </row>
    <row r="23" spans="1:43" ht="17.25" thickTop="1"/>
  </sheetData>
  <dataConsolidate/>
  <mergeCells count="45">
    <mergeCell ref="AU15:AU16"/>
    <mergeCell ref="AH15:AH16"/>
    <mergeCell ref="A11:A12"/>
    <mergeCell ref="B11:B12"/>
    <mergeCell ref="C11:C12"/>
    <mergeCell ref="A1:AO4"/>
    <mergeCell ref="P15:P16"/>
    <mergeCell ref="Q15:Q16"/>
    <mergeCell ref="R15:R16"/>
    <mergeCell ref="AD15:AD16"/>
    <mergeCell ref="AF15:AF16"/>
    <mergeCell ref="Q11:Q12"/>
    <mergeCell ref="R11:R12"/>
    <mergeCell ref="A15:A16"/>
    <mergeCell ref="B15:B16"/>
    <mergeCell ref="C15:C16"/>
    <mergeCell ref="D15:D16"/>
    <mergeCell ref="E15:E16"/>
    <mergeCell ref="F15:F16"/>
    <mergeCell ref="G15:G16"/>
    <mergeCell ref="H15:H16"/>
    <mergeCell ref="I15:I16"/>
    <mergeCell ref="N11:N12"/>
    <mergeCell ref="P11:P12"/>
    <mergeCell ref="J15:J16"/>
    <mergeCell ref="K15:K16"/>
    <mergeCell ref="L15:L16"/>
    <mergeCell ref="M15:M16"/>
    <mergeCell ref="N15:N16"/>
    <mergeCell ref="C6:AD6"/>
    <mergeCell ref="K20:N20"/>
    <mergeCell ref="A20:G20"/>
    <mergeCell ref="A22:F22"/>
    <mergeCell ref="S22:V22"/>
    <mergeCell ref="W22:Z22"/>
    <mergeCell ref="H22:N22"/>
    <mergeCell ref="P22:R22"/>
    <mergeCell ref="D11:D12"/>
    <mergeCell ref="E11:E12"/>
    <mergeCell ref="F11:F12"/>
    <mergeCell ref="G11:G12"/>
    <mergeCell ref="H11:H12"/>
    <mergeCell ref="K11:K12"/>
    <mergeCell ref="L11:L12"/>
    <mergeCell ref="M11:M12"/>
  </mergeCells>
  <conditionalFormatting sqref="AE19:AE21">
    <cfRule type="cellIs" dxfId="96" priority="157" stopIfTrue="1" operator="equal">
      <formula>#REF!</formula>
    </cfRule>
    <cfRule type="cellIs" dxfId="95" priority="158" operator="equal">
      <formula>#REF!</formula>
    </cfRule>
    <cfRule type="cellIs" dxfId="94" priority="159" operator="equal">
      <formula>#REF!</formula>
    </cfRule>
  </conditionalFormatting>
  <conditionalFormatting sqref="AF19:AF21">
    <cfRule type="cellIs" dxfId="93" priority="160" stopIfTrue="1" operator="equal">
      <formula>#REF!</formula>
    </cfRule>
    <cfRule type="cellIs" dxfId="92" priority="161" stopIfTrue="1" operator="equal">
      <formula>#REF!</formula>
    </cfRule>
    <cfRule type="cellIs" dxfId="91" priority="162" stopIfTrue="1" operator="equal">
      <formula>#REF!</formula>
    </cfRule>
  </conditionalFormatting>
  <conditionalFormatting sqref="L11">
    <cfRule type="cellIs" dxfId="90" priority="152" operator="equal">
      <formula>"Muy Alta"</formula>
    </cfRule>
    <cfRule type="cellIs" dxfId="89" priority="153" operator="equal">
      <formula>"Alta"</formula>
    </cfRule>
    <cfRule type="cellIs" dxfId="88" priority="154" operator="equal">
      <formula>"Media"</formula>
    </cfRule>
    <cfRule type="cellIs" dxfId="87" priority="155" operator="equal">
      <formula>"Baja"</formula>
    </cfRule>
    <cfRule type="cellIs" dxfId="86" priority="156" operator="equal">
      <formula>"Muy Baja"</formula>
    </cfRule>
  </conditionalFormatting>
  <conditionalFormatting sqref="P11">
    <cfRule type="cellIs" dxfId="85" priority="147" operator="equal">
      <formula>"Catastrófico"</formula>
    </cfRule>
    <cfRule type="cellIs" dxfId="84" priority="148" operator="equal">
      <formula>"Mayor"</formula>
    </cfRule>
    <cfRule type="cellIs" dxfId="83" priority="149" operator="equal">
      <formula>"Moderado"</formula>
    </cfRule>
    <cfRule type="cellIs" dxfId="82" priority="150" operator="equal">
      <formula>"Menor"</formula>
    </cfRule>
    <cfRule type="cellIs" dxfId="81" priority="151" operator="equal">
      <formula>"Leve"</formula>
    </cfRule>
  </conditionalFormatting>
  <conditionalFormatting sqref="R11">
    <cfRule type="cellIs" dxfId="80" priority="143" operator="equal">
      <formula>"Extremo"</formula>
    </cfRule>
    <cfRule type="cellIs" dxfId="79" priority="144" operator="equal">
      <formula>"Alto"</formula>
    </cfRule>
    <cfRule type="cellIs" dxfId="78" priority="145" operator="equal">
      <formula>"Moderado"</formula>
    </cfRule>
    <cfRule type="cellIs" dxfId="77" priority="146" operator="equal">
      <formula>"Bajo"</formula>
    </cfRule>
  </conditionalFormatting>
  <conditionalFormatting sqref="O11:O12">
    <cfRule type="containsText" dxfId="76" priority="142" operator="containsText" text="❌">
      <formula>NOT(ISERROR(SEARCH("❌",O11)))</formula>
    </cfRule>
  </conditionalFormatting>
  <conditionalFormatting sqref="AD11:AD12">
    <cfRule type="cellIs" dxfId="75" priority="137" operator="equal">
      <formula>"Muy Alta"</formula>
    </cfRule>
    <cfRule type="cellIs" dxfId="74" priority="138" operator="equal">
      <formula>"Alta"</formula>
    </cfRule>
    <cfRule type="cellIs" dxfId="73" priority="139" operator="equal">
      <formula>"Media"</formula>
    </cfRule>
    <cfRule type="cellIs" dxfId="72" priority="140" operator="equal">
      <formula>"Baja"</formula>
    </cfRule>
    <cfRule type="cellIs" dxfId="71" priority="141" operator="equal">
      <formula>"Muy Baja"</formula>
    </cfRule>
  </conditionalFormatting>
  <conditionalFormatting sqref="AF11:AF12">
    <cfRule type="cellIs" dxfId="70" priority="132" operator="equal">
      <formula>"Catastrófico"</formula>
    </cfRule>
    <cfRule type="cellIs" dxfId="69" priority="133" operator="equal">
      <formula>"Mayor"</formula>
    </cfRule>
    <cfRule type="cellIs" dxfId="68" priority="134" operator="equal">
      <formula>"Moderado"</formula>
    </cfRule>
    <cfRule type="cellIs" dxfId="67" priority="135" operator="equal">
      <formula>"Menor"</formula>
    </cfRule>
    <cfRule type="cellIs" dxfId="66" priority="136" operator="equal">
      <formula>"Leve"</formula>
    </cfRule>
  </conditionalFormatting>
  <conditionalFormatting sqref="AH11:AH12">
    <cfRule type="cellIs" dxfId="65" priority="128" operator="equal">
      <formula>"Extremo"</formula>
    </cfRule>
    <cfRule type="cellIs" dxfId="64" priority="129" operator="equal">
      <formula>"Alto"</formula>
    </cfRule>
    <cfRule type="cellIs" dxfId="63" priority="130" operator="equal">
      <formula>"Moderado"</formula>
    </cfRule>
    <cfRule type="cellIs" dxfId="62" priority="131" operator="equal">
      <formula>"Bajo"</formula>
    </cfRule>
  </conditionalFormatting>
  <conditionalFormatting sqref="L13 AD13:AD14">
    <cfRule type="cellIs" dxfId="61" priority="123" operator="equal">
      <formula>"Muy Alta"</formula>
    </cfRule>
    <cfRule type="cellIs" dxfId="60" priority="124" operator="equal">
      <formula>"Alta"</formula>
    </cfRule>
    <cfRule type="cellIs" dxfId="59" priority="125" operator="equal">
      <formula>"Media"</formula>
    </cfRule>
    <cfRule type="cellIs" dxfId="58" priority="126" operator="equal">
      <formula>"Baja"</formula>
    </cfRule>
    <cfRule type="cellIs" dxfId="57" priority="127" operator="equal">
      <formula>"Muy Baja"</formula>
    </cfRule>
  </conditionalFormatting>
  <conditionalFormatting sqref="P13:P14 AF13:AF14">
    <cfRule type="cellIs" dxfId="56" priority="118" operator="equal">
      <formula>"Catastrófico"</formula>
    </cfRule>
    <cfRule type="cellIs" dxfId="55" priority="119" operator="equal">
      <formula>"Mayor"</formula>
    </cfRule>
    <cfRule type="cellIs" dxfId="54" priority="120" operator="equal">
      <formula>"Moderado"</formula>
    </cfRule>
    <cfRule type="cellIs" dxfId="53" priority="121" operator="equal">
      <formula>"Menor"</formula>
    </cfRule>
    <cfRule type="cellIs" dxfId="52" priority="122" operator="equal">
      <formula>"Leve"</formula>
    </cfRule>
  </conditionalFormatting>
  <conditionalFormatting sqref="AH13:AH14">
    <cfRule type="cellIs" dxfId="51" priority="114" operator="equal">
      <formula>"Extremo"</formula>
    </cfRule>
    <cfRule type="cellIs" dxfId="50" priority="115" operator="equal">
      <formula>"Alto"</formula>
    </cfRule>
    <cfRule type="cellIs" dxfId="49" priority="116" operator="equal">
      <formula>"Moderado"</formula>
    </cfRule>
    <cfRule type="cellIs" dxfId="48" priority="117" operator="equal">
      <formula>"Bajo"</formula>
    </cfRule>
  </conditionalFormatting>
  <conditionalFormatting sqref="R13">
    <cfRule type="cellIs" dxfId="47" priority="110" operator="equal">
      <formula>"Extremo"</formula>
    </cfRule>
    <cfRule type="cellIs" dxfId="46" priority="111" operator="equal">
      <formula>"Alto"</formula>
    </cfRule>
    <cfRule type="cellIs" dxfId="45" priority="112" operator="equal">
      <formula>"Moderado"</formula>
    </cfRule>
    <cfRule type="cellIs" dxfId="44" priority="113" operator="equal">
      <formula>"Bajo"</formula>
    </cfRule>
  </conditionalFormatting>
  <conditionalFormatting sqref="L14">
    <cfRule type="cellIs" dxfId="43" priority="105" operator="equal">
      <formula>"Muy Alta"</formula>
    </cfRule>
    <cfRule type="cellIs" dxfId="42" priority="106" operator="equal">
      <formula>"Alta"</formula>
    </cfRule>
    <cfRule type="cellIs" dxfId="41" priority="107" operator="equal">
      <formula>"Media"</formula>
    </cfRule>
    <cfRule type="cellIs" dxfId="40" priority="108" operator="equal">
      <formula>"Baja"</formula>
    </cfRule>
    <cfRule type="cellIs" dxfId="39" priority="109" operator="equal">
      <formula>"Muy Baja"</formula>
    </cfRule>
  </conditionalFormatting>
  <conditionalFormatting sqref="R14">
    <cfRule type="cellIs" dxfId="38" priority="101" operator="equal">
      <formula>"Extremo"</formula>
    </cfRule>
    <cfRule type="cellIs" dxfId="37" priority="102" operator="equal">
      <formula>"Alto"</formula>
    </cfRule>
    <cfRule type="cellIs" dxfId="36" priority="103" operator="equal">
      <formula>"Moderado"</formula>
    </cfRule>
    <cfRule type="cellIs" dxfId="35" priority="104" operator="equal">
      <formula>"Bajo"</formula>
    </cfRule>
  </conditionalFormatting>
  <conditionalFormatting sqref="O13:O14">
    <cfRule type="containsText" dxfId="34" priority="100" operator="containsText" text="❌">
      <formula>NOT(ISERROR(SEARCH("❌",O13)))</formula>
    </cfRule>
  </conditionalFormatting>
  <conditionalFormatting sqref="L15">
    <cfRule type="cellIs" dxfId="33" priority="81" operator="equal">
      <formula>"Muy Alta"</formula>
    </cfRule>
    <cfRule type="cellIs" dxfId="32" priority="82" operator="equal">
      <formula>"Alta"</formula>
    </cfRule>
    <cfRule type="cellIs" dxfId="31" priority="83" operator="equal">
      <formula>"Media"</formula>
    </cfRule>
    <cfRule type="cellIs" dxfId="30" priority="84" operator="equal">
      <formula>"Baja"</formula>
    </cfRule>
    <cfRule type="cellIs" dxfId="29" priority="85" operator="equal">
      <formula>"Muy Baja"</formula>
    </cfRule>
  </conditionalFormatting>
  <conditionalFormatting sqref="O15:O16">
    <cfRule type="containsText" dxfId="28" priority="80" operator="containsText" text="❌">
      <formula>NOT(ISERROR(SEARCH("❌",O15)))</formula>
    </cfRule>
  </conditionalFormatting>
  <conditionalFormatting sqref="R15">
    <cfRule type="cellIs" dxfId="27" priority="76" operator="equal">
      <formula>"Extremo"</formula>
    </cfRule>
    <cfRule type="cellIs" dxfId="26" priority="77" operator="equal">
      <formula>"Alto"</formula>
    </cfRule>
    <cfRule type="cellIs" dxfId="25" priority="78" operator="equal">
      <formula>"Moderado"</formula>
    </cfRule>
    <cfRule type="cellIs" dxfId="24" priority="79" operator="equal">
      <formula>"Bajo"</formula>
    </cfRule>
  </conditionalFormatting>
  <conditionalFormatting sqref="P15">
    <cfRule type="cellIs" dxfId="23" priority="71" operator="equal">
      <formula>"Catastrófico"</formula>
    </cfRule>
    <cfRule type="cellIs" dxfId="22" priority="72" operator="equal">
      <formula>"Mayor"</formula>
    </cfRule>
    <cfRule type="cellIs" dxfId="21" priority="73" operator="equal">
      <formula>"Moderado"</formula>
    </cfRule>
    <cfRule type="cellIs" dxfId="20" priority="74" operator="equal">
      <formula>"Menor"</formula>
    </cfRule>
    <cfRule type="cellIs" dxfId="19" priority="75" operator="equal">
      <formula>"Leve"</formula>
    </cfRule>
  </conditionalFormatting>
  <conditionalFormatting sqref="AF15">
    <cfRule type="cellIs" dxfId="18" priority="37" operator="equal">
      <formula>"Catastrófico"</formula>
    </cfRule>
    <cfRule type="cellIs" dxfId="17" priority="38" operator="equal">
      <formula>"Mayor"</formula>
    </cfRule>
    <cfRule type="cellIs" dxfId="16" priority="39" operator="equal">
      <formula>"Moderado"</formula>
    </cfRule>
    <cfRule type="cellIs" dxfId="15" priority="40" operator="equal">
      <formula>"Menor"</formula>
    </cfRule>
    <cfRule type="cellIs" dxfId="14" priority="41" operator="equal">
      <formula>"Leve"</formula>
    </cfRule>
  </conditionalFormatting>
  <conditionalFormatting sqref="AD15">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H15">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6">
    <dataValidation type="list" allowBlank="1" showInputMessage="1" showErrorMessage="1" sqref="G19" xr:uid="{00000000-0002-0000-0100-000000000000}">
      <formula1>$G$176:$G$185</formula1>
    </dataValidation>
    <dataValidation type="list" allowBlank="1" showInputMessage="1" showErrorMessage="1" sqref="G21 AE21:AF21" xr:uid="{00000000-0002-0000-0100-000001000000}">
      <formula1>#REF!</formula1>
    </dataValidation>
    <dataValidation type="list" allowBlank="1" showInputMessage="1" showErrorMessage="1" sqref="V21" xr:uid="{00000000-0002-0000-0100-000002000000}">
      <formula1>$N$176:$N$177</formula1>
    </dataValidation>
    <dataValidation type="list" allowBlank="1" showInputMessage="1" showErrorMessage="1" sqref="K21" xr:uid="{00000000-0002-0000-0100-000003000000}">
      <formula1>$K$176:$K$180</formula1>
    </dataValidation>
    <dataValidation type="list" allowBlank="1" showInputMessage="1" showErrorMessage="1" sqref="H21:J21" xr:uid="{00000000-0002-0000-0100-000004000000}">
      <formula1>$H$176:$H$180</formula1>
    </dataValidation>
    <dataValidation type="list" allowBlank="1" showInputMessage="1" showErrorMessage="1" sqref="AP21 Y21:AD21 W21 AL21 AN21" xr:uid="{00000000-0002-0000-0100-000005000000}">
      <formula1>$AL$176:$AL$183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6000000}">
          <x14:formula1>
            <xm:f>'Opciones Tratamiento'!$B$9:$B$10</xm:f>
          </x14:formula1>
          <xm:sqref>AO11:AO16 AR11:AR16 AU11:AU15</xm:sqref>
        </x14:dataValidation>
        <x14:dataValidation type="list" allowBlank="1" showInputMessage="1" showErrorMessage="1" xr:uid="{00000000-0002-0000-0100-000007000000}">
          <x14:formula1>
            <xm:f>Listas!$A$2:$A$9</xm:f>
          </x14:formula1>
          <xm:sqref>B11 B13:B15</xm:sqref>
        </x14:dataValidation>
        <x14:dataValidation type="list" allowBlank="1" showInputMessage="1" showErrorMessage="1" xr:uid="{00000000-0002-0000-0100-000008000000}">
          <x14:formula1>
            <xm:f>Listas!$B$2:$B$7</xm:f>
          </x14:formula1>
          <xm:sqref>C11 C13:C15</xm:sqref>
        </x14:dataValidation>
        <x14:dataValidation type="list" allowBlank="1" showInputMessage="1" showErrorMessage="1" xr:uid="{00000000-0002-0000-0100-000009000000}">
          <x14:formula1>
            <xm:f>Listas!$C$2:$C$6</xm:f>
          </x14:formula1>
          <xm:sqref>I11 I13:I15</xm:sqref>
        </x14:dataValidation>
        <x14:dataValidation type="list" allowBlank="1" showInputMessage="1" showErrorMessage="1" xr:uid="{00000000-0002-0000-0100-00000A000000}">
          <x14:formula1>
            <xm:f>Listas!$D$2:$D$5</xm:f>
          </x14:formula1>
          <xm:sqref>J11 J13:J15</xm:sqref>
        </x14:dataValidation>
        <x14:dataValidation type="custom" allowBlank="1" showInputMessage="1" showErrorMessage="1" error="Recuerde que las acciones se generan bajo la medida de mitigar el riesgo" xr:uid="{00000000-0002-0000-0100-00000B000000}">
          <x14:formula1>
            <xm:f>IF(OR(AL11='Opciones Tratamiento'!$B$2,AL11='Opciones Tratamiento'!$B$3,AL11='Opciones Tratamiento'!$B$4),ISBLANK(AL11),ISTEXT(AL11))</xm:f>
          </x14:formula1>
          <xm:sqref>AP11:AP16 AS11:AS16</xm:sqref>
        </x14:dataValidation>
        <x14:dataValidation type="custom" allowBlank="1" showInputMessage="1" showErrorMessage="1" error="Recuerde que las acciones se generan bajo la medida de mitigar el riesgo" xr:uid="{00000000-0002-0000-0100-00000C000000}">
          <x14:formula1>
            <xm:f>IF(OR(AI11='Opciones Tratamiento'!$B$2,AI11='Opciones Tratamiento'!$B$3,AI11='Opciones Tratamiento'!$B$4),ISBLANK(AI11),ISTEXT(AI11))</xm:f>
          </x14:formula1>
          <xm:sqref>AN11:AN16 AQ11:AQ16 AT11:AT13 AT15:AT16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sheetData>
    <row r="1" spans="1:4">
      <c r="A1" t="s">
        <v>226</v>
      </c>
      <c r="B1" t="s">
        <v>235</v>
      </c>
      <c r="C1" t="s">
        <v>241</v>
      </c>
      <c r="D1" t="s">
        <v>250</v>
      </c>
    </row>
    <row r="2" spans="1:4">
      <c r="A2" t="s">
        <v>234</v>
      </c>
      <c r="B2" t="s">
        <v>236</v>
      </c>
      <c r="C2" t="s">
        <v>242</v>
      </c>
      <c r="D2" t="s">
        <v>247</v>
      </c>
    </row>
    <row r="3" spans="1:4">
      <c r="A3" t="s">
        <v>227</v>
      </c>
      <c r="B3" t="s">
        <v>229</v>
      </c>
      <c r="C3" t="s">
        <v>243</v>
      </c>
      <c r="D3" t="s">
        <v>248</v>
      </c>
    </row>
    <row r="4" spans="1:4">
      <c r="A4" t="s">
        <v>228</v>
      </c>
      <c r="B4" t="s">
        <v>237</v>
      </c>
      <c r="C4" t="s">
        <v>244</v>
      </c>
      <c r="D4" t="s">
        <v>249</v>
      </c>
    </row>
    <row r="5" spans="1:4">
      <c r="A5" t="s">
        <v>229</v>
      </c>
      <c r="B5" t="s">
        <v>238</v>
      </c>
      <c r="C5" t="s">
        <v>245</v>
      </c>
      <c r="D5" t="s">
        <v>246</v>
      </c>
    </row>
    <row r="6" spans="1:4">
      <c r="A6" t="s">
        <v>230</v>
      </c>
      <c r="B6" t="s">
        <v>239</v>
      </c>
      <c r="C6" t="s">
        <v>246</v>
      </c>
    </row>
    <row r="7" spans="1:4">
      <c r="A7" t="s">
        <v>231</v>
      </c>
      <c r="B7" t="s">
        <v>240</v>
      </c>
    </row>
    <row r="8" spans="1:4">
      <c r="A8" t="s">
        <v>232</v>
      </c>
    </row>
    <row r="9" spans="1:4">
      <c r="A9" t="s">
        <v>233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cols>
    <col min="2" max="39" width="5.7109375" customWidth="1"/>
    <col min="41" max="46" width="5.7109375" customWidth="1"/>
  </cols>
  <sheetData>
    <row r="1" spans="1:99">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c r="A2" s="75"/>
      <c r="B2" s="374" t="s">
        <v>158</v>
      </c>
      <c r="C2" s="374"/>
      <c r="D2" s="374"/>
      <c r="E2" s="374"/>
      <c r="F2" s="374"/>
      <c r="G2" s="374"/>
      <c r="H2" s="374"/>
      <c r="I2" s="374"/>
      <c r="J2" s="342"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c r="A3" s="75"/>
      <c r="B3" s="374"/>
      <c r="C3" s="374"/>
      <c r="D3" s="374"/>
      <c r="E3" s="374"/>
      <c r="F3" s="374"/>
      <c r="G3" s="374"/>
      <c r="H3" s="374"/>
      <c r="I3" s="374"/>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c r="A4" s="75"/>
      <c r="B4" s="374"/>
      <c r="C4" s="374"/>
      <c r="D4" s="374"/>
      <c r="E4" s="374"/>
      <c r="F4" s="374"/>
      <c r="G4" s="374"/>
      <c r="H4" s="374"/>
      <c r="I4" s="374"/>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c r="A6" s="75"/>
      <c r="B6" s="289" t="s">
        <v>4</v>
      </c>
      <c r="C6" s="289"/>
      <c r="D6" s="290"/>
      <c r="E6" s="327" t="s">
        <v>115</v>
      </c>
      <c r="F6" s="328"/>
      <c r="G6" s="328"/>
      <c r="H6" s="328"/>
      <c r="I6" s="329"/>
      <c r="J6" s="338" t="e">
        <f>IF(AND('Mapa final'!#REF!="Muy Alta",'Mapa final'!#REF!="Leve"),CONCATENATE("R",'Mapa final'!#REF!),"")</f>
        <v>#REF!</v>
      </c>
      <c r="K6" s="339"/>
      <c r="L6" s="339" t="str">
        <f>IF(AND('Mapa final'!$L$11="Muy Alta",'Mapa final'!$P$11="Leve"),CONCATENATE("R",'Mapa final'!$A$11),"")</f>
        <v/>
      </c>
      <c r="M6" s="339"/>
      <c r="N6" s="339" t="e">
        <f>IF(AND('Mapa final'!#REF!="Muy Alta",'Mapa final'!#REF!="Leve"),CONCATENATE("R",'Mapa final'!#REF!),"")</f>
        <v>#REF!</v>
      </c>
      <c r="O6" s="341"/>
      <c r="P6" s="338" t="e">
        <f>IF(AND('Mapa final'!#REF!="Muy Alta",'Mapa final'!#REF!="Menor"),CONCATENATE("R",'Mapa final'!#REF!),"")</f>
        <v>#REF!</v>
      </c>
      <c r="Q6" s="339"/>
      <c r="R6" s="339" t="str">
        <f>IF(AND('Mapa final'!$L$11="Muy Alta",'Mapa final'!$P$11="Menor"),CONCATENATE("R",'Mapa final'!$A$11),"")</f>
        <v/>
      </c>
      <c r="S6" s="339"/>
      <c r="T6" s="339" t="e">
        <f>IF(AND('Mapa final'!#REF!="Muy Alta",'Mapa final'!#REF!="Menor"),CONCATENATE("R",'Mapa final'!#REF!),"")</f>
        <v>#REF!</v>
      </c>
      <c r="U6" s="341"/>
      <c r="V6" s="338" t="e">
        <f>IF(AND('Mapa final'!#REF!="Muy Alta",'Mapa final'!#REF!="Moderado"),CONCATENATE("R",'Mapa final'!#REF!),"")</f>
        <v>#REF!</v>
      </c>
      <c r="W6" s="339"/>
      <c r="X6" s="339" t="str">
        <f>IF(AND('Mapa final'!$L$11="Muy Alta",'Mapa final'!$P$11="Moderado"),CONCATENATE("R",'Mapa final'!$A$11),"")</f>
        <v/>
      </c>
      <c r="Y6" s="339"/>
      <c r="Z6" s="339" t="e">
        <f>IF(AND('Mapa final'!#REF!="Muy Alta",'Mapa final'!#REF!="Moderado"),CONCATENATE("R",'Mapa final'!#REF!),"")</f>
        <v>#REF!</v>
      </c>
      <c r="AA6" s="341"/>
      <c r="AB6" s="338" t="e">
        <f>IF(AND('Mapa final'!#REF!="Muy Alta",'Mapa final'!#REF!="Mayor"),CONCATENATE("R",'Mapa final'!#REF!),"")</f>
        <v>#REF!</v>
      </c>
      <c r="AC6" s="339"/>
      <c r="AD6" s="339" t="str">
        <f>IF(AND('Mapa final'!$L$11="Muy Alta",'Mapa final'!$P$11="Mayor"),CONCATENATE("R",'Mapa final'!$A$11),"")</f>
        <v/>
      </c>
      <c r="AE6" s="339"/>
      <c r="AF6" s="339" t="e">
        <f>IF(AND('Mapa final'!#REF!="Muy Alta",'Mapa final'!#REF!="Mayor"),CONCATENATE("R",'Mapa final'!#REF!),"")</f>
        <v>#REF!</v>
      </c>
      <c r="AG6" s="341"/>
      <c r="AH6" s="353" t="e">
        <f>IF(AND('Mapa final'!#REF!="Muy Alta",'Mapa final'!#REF!="Catastrófico"),CONCATENATE("R",'Mapa final'!#REF!),"")</f>
        <v>#REF!</v>
      </c>
      <c r="AI6" s="354"/>
      <c r="AJ6" s="354" t="str">
        <f>IF(AND('Mapa final'!$L$11="Muy Alta",'Mapa final'!$P$11="Catastrófico"),CONCATENATE("R",'Mapa final'!$A$11),"")</f>
        <v/>
      </c>
      <c r="AK6" s="354"/>
      <c r="AL6" s="354" t="e">
        <f>IF(AND('Mapa final'!#REF!="Muy Alta",'Mapa final'!#REF!="Catastrófico"),CONCATENATE("R",'Mapa final'!#REF!),"")</f>
        <v>#REF!</v>
      </c>
      <c r="AM6" s="355"/>
      <c r="AO6" s="291" t="s">
        <v>78</v>
      </c>
      <c r="AP6" s="292"/>
      <c r="AQ6" s="292"/>
      <c r="AR6" s="292"/>
      <c r="AS6" s="292"/>
      <c r="AT6" s="293"/>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c r="A7" s="75"/>
      <c r="B7" s="289"/>
      <c r="C7" s="289"/>
      <c r="D7" s="290"/>
      <c r="E7" s="330"/>
      <c r="F7" s="331"/>
      <c r="G7" s="331"/>
      <c r="H7" s="331"/>
      <c r="I7" s="332"/>
      <c r="J7" s="340"/>
      <c r="K7" s="336"/>
      <c r="L7" s="336"/>
      <c r="M7" s="336"/>
      <c r="N7" s="336"/>
      <c r="O7" s="337"/>
      <c r="P7" s="340"/>
      <c r="Q7" s="336"/>
      <c r="R7" s="336"/>
      <c r="S7" s="336"/>
      <c r="T7" s="336"/>
      <c r="U7" s="337"/>
      <c r="V7" s="340"/>
      <c r="W7" s="336"/>
      <c r="X7" s="336"/>
      <c r="Y7" s="336"/>
      <c r="Z7" s="336"/>
      <c r="AA7" s="337"/>
      <c r="AB7" s="340"/>
      <c r="AC7" s="336"/>
      <c r="AD7" s="336"/>
      <c r="AE7" s="336"/>
      <c r="AF7" s="336"/>
      <c r="AG7" s="337"/>
      <c r="AH7" s="347"/>
      <c r="AI7" s="348"/>
      <c r="AJ7" s="348"/>
      <c r="AK7" s="348"/>
      <c r="AL7" s="348"/>
      <c r="AM7" s="349"/>
      <c r="AN7" s="75"/>
      <c r="AO7" s="294"/>
      <c r="AP7" s="295"/>
      <c r="AQ7" s="295"/>
      <c r="AR7" s="295"/>
      <c r="AS7" s="295"/>
      <c r="AT7" s="296"/>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c r="A8" s="75"/>
      <c r="B8" s="289"/>
      <c r="C8" s="289"/>
      <c r="D8" s="290"/>
      <c r="E8" s="330"/>
      <c r="F8" s="331"/>
      <c r="G8" s="331"/>
      <c r="H8" s="331"/>
      <c r="I8" s="332"/>
      <c r="J8" s="340" t="e">
        <f>IF(AND('Mapa final'!#REF!="Muy Alta",'Mapa final'!#REF!="Leve"),CONCATENATE("R",'Mapa final'!#REF!),"")</f>
        <v>#REF!</v>
      </c>
      <c r="K8" s="336"/>
      <c r="L8" s="336" t="e">
        <f>IF(AND('Mapa final'!#REF!="Muy Alta",'Mapa final'!#REF!="Leve"),CONCATENATE("R",'Mapa final'!#REF!),"")</f>
        <v>#REF!</v>
      </c>
      <c r="M8" s="336"/>
      <c r="N8" s="336" t="e">
        <f>IF(AND('Mapa final'!#REF!="Muy Alta",'Mapa final'!#REF!="Leve"),CONCATENATE("R",'Mapa final'!#REF!),"")</f>
        <v>#REF!</v>
      </c>
      <c r="O8" s="337"/>
      <c r="P8" s="340" t="e">
        <f>IF(AND('Mapa final'!#REF!="Muy Alta",'Mapa final'!#REF!="Menor"),CONCATENATE("R",'Mapa final'!#REF!),"")</f>
        <v>#REF!</v>
      </c>
      <c r="Q8" s="336"/>
      <c r="R8" s="336" t="e">
        <f>IF(AND('Mapa final'!#REF!="Muy Alta",'Mapa final'!#REF!="Menor"),CONCATENATE("R",'Mapa final'!#REF!),"")</f>
        <v>#REF!</v>
      </c>
      <c r="S8" s="336"/>
      <c r="T8" s="336" t="e">
        <f>IF(AND('Mapa final'!#REF!="Muy Alta",'Mapa final'!#REF!="Menor"),CONCATENATE("R",'Mapa final'!#REF!),"")</f>
        <v>#REF!</v>
      </c>
      <c r="U8" s="337"/>
      <c r="V8" s="340" t="e">
        <f>IF(AND('Mapa final'!#REF!="Muy Alta",'Mapa final'!#REF!="Moderado"),CONCATENATE("R",'Mapa final'!#REF!),"")</f>
        <v>#REF!</v>
      </c>
      <c r="W8" s="336"/>
      <c r="X8" s="336" t="e">
        <f>IF(AND('Mapa final'!#REF!="Muy Alta",'Mapa final'!#REF!="Moderado"),CONCATENATE("R",'Mapa final'!#REF!),"")</f>
        <v>#REF!</v>
      </c>
      <c r="Y8" s="336"/>
      <c r="Z8" s="336" t="e">
        <f>IF(AND('Mapa final'!#REF!="Muy Alta",'Mapa final'!#REF!="Moderado"),CONCATENATE("R",'Mapa final'!#REF!),"")</f>
        <v>#REF!</v>
      </c>
      <c r="AA8" s="337"/>
      <c r="AB8" s="340" t="e">
        <f>IF(AND('Mapa final'!#REF!="Muy Alta",'Mapa final'!#REF!="Mayor"),CONCATENATE("R",'Mapa final'!#REF!),"")</f>
        <v>#REF!</v>
      </c>
      <c r="AC8" s="336"/>
      <c r="AD8" s="336" t="e">
        <f>IF(AND('Mapa final'!#REF!="Muy Alta",'Mapa final'!#REF!="Mayor"),CONCATENATE("R",'Mapa final'!#REF!),"")</f>
        <v>#REF!</v>
      </c>
      <c r="AE8" s="336"/>
      <c r="AF8" s="336" t="e">
        <f>IF(AND('Mapa final'!#REF!="Muy Alta",'Mapa final'!#REF!="Mayor"),CONCATENATE("R",'Mapa final'!#REF!),"")</f>
        <v>#REF!</v>
      </c>
      <c r="AG8" s="337"/>
      <c r="AH8" s="347" t="e">
        <f>IF(AND('Mapa final'!#REF!="Muy Alta",'Mapa final'!#REF!="Catastrófico"),CONCATENATE("R",'Mapa final'!#REF!),"")</f>
        <v>#REF!</v>
      </c>
      <c r="AI8" s="348"/>
      <c r="AJ8" s="348" t="e">
        <f>IF(AND('Mapa final'!#REF!="Muy Alta",'Mapa final'!#REF!="Catastrófico"),CONCATENATE("R",'Mapa final'!#REF!),"")</f>
        <v>#REF!</v>
      </c>
      <c r="AK8" s="348"/>
      <c r="AL8" s="348" t="e">
        <f>IF(AND('Mapa final'!#REF!="Muy Alta",'Mapa final'!#REF!="Catastrófico"),CONCATENATE("R",'Mapa final'!#REF!),"")</f>
        <v>#REF!</v>
      </c>
      <c r="AM8" s="349"/>
      <c r="AN8" s="75"/>
      <c r="AO8" s="294"/>
      <c r="AP8" s="295"/>
      <c r="AQ8" s="295"/>
      <c r="AR8" s="295"/>
      <c r="AS8" s="295"/>
      <c r="AT8" s="296"/>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c r="A9" s="75"/>
      <c r="B9" s="289"/>
      <c r="C9" s="289"/>
      <c r="D9" s="290"/>
      <c r="E9" s="330"/>
      <c r="F9" s="331"/>
      <c r="G9" s="331"/>
      <c r="H9" s="331"/>
      <c r="I9" s="332"/>
      <c r="J9" s="340"/>
      <c r="K9" s="336"/>
      <c r="L9" s="336"/>
      <c r="M9" s="336"/>
      <c r="N9" s="336"/>
      <c r="O9" s="337"/>
      <c r="P9" s="340"/>
      <c r="Q9" s="336"/>
      <c r="R9" s="336"/>
      <c r="S9" s="336"/>
      <c r="T9" s="336"/>
      <c r="U9" s="337"/>
      <c r="V9" s="340"/>
      <c r="W9" s="336"/>
      <c r="X9" s="336"/>
      <c r="Y9" s="336"/>
      <c r="Z9" s="336"/>
      <c r="AA9" s="337"/>
      <c r="AB9" s="340"/>
      <c r="AC9" s="336"/>
      <c r="AD9" s="336"/>
      <c r="AE9" s="336"/>
      <c r="AF9" s="336"/>
      <c r="AG9" s="337"/>
      <c r="AH9" s="347"/>
      <c r="AI9" s="348"/>
      <c r="AJ9" s="348"/>
      <c r="AK9" s="348"/>
      <c r="AL9" s="348"/>
      <c r="AM9" s="349"/>
      <c r="AN9" s="75"/>
      <c r="AO9" s="294"/>
      <c r="AP9" s="295"/>
      <c r="AQ9" s="295"/>
      <c r="AR9" s="295"/>
      <c r="AS9" s="295"/>
      <c r="AT9" s="296"/>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c r="A10" s="75"/>
      <c r="B10" s="289"/>
      <c r="C10" s="289"/>
      <c r="D10" s="290"/>
      <c r="E10" s="330"/>
      <c r="F10" s="331"/>
      <c r="G10" s="331"/>
      <c r="H10" s="331"/>
      <c r="I10" s="332"/>
      <c r="J10" s="340" t="e">
        <f>IF(AND('Mapa final'!#REF!="Muy Alta",'Mapa final'!#REF!="Leve"),CONCATENATE("R",'Mapa final'!#REF!),"")</f>
        <v>#REF!</v>
      </c>
      <c r="K10" s="336"/>
      <c r="L10" s="336" t="e">
        <f>IF(AND('Mapa final'!#REF!="Muy Alta",'Mapa final'!#REF!="Leve"),CONCATENATE("R",'Mapa final'!#REF!),"")</f>
        <v>#REF!</v>
      </c>
      <c r="M10" s="336"/>
      <c r="N10" s="336" t="e">
        <f>IF(AND('Mapa final'!#REF!="Muy Alta",'Mapa final'!#REF!="Leve"),CONCATENATE("R",'Mapa final'!#REF!),"")</f>
        <v>#REF!</v>
      </c>
      <c r="O10" s="337"/>
      <c r="P10" s="340" t="e">
        <f>IF(AND('Mapa final'!#REF!="Muy Alta",'Mapa final'!#REF!="Menor"),CONCATENATE("R",'Mapa final'!#REF!),"")</f>
        <v>#REF!</v>
      </c>
      <c r="Q10" s="336"/>
      <c r="R10" s="336" t="e">
        <f>IF(AND('Mapa final'!#REF!="Muy Alta",'Mapa final'!#REF!="Menor"),CONCATENATE("R",'Mapa final'!#REF!),"")</f>
        <v>#REF!</v>
      </c>
      <c r="S10" s="336"/>
      <c r="T10" s="336" t="e">
        <f>IF(AND('Mapa final'!#REF!="Muy Alta",'Mapa final'!#REF!="Menor"),CONCATENATE("R",'Mapa final'!#REF!),"")</f>
        <v>#REF!</v>
      </c>
      <c r="U10" s="337"/>
      <c r="V10" s="340" t="e">
        <f>IF(AND('Mapa final'!#REF!="Muy Alta",'Mapa final'!#REF!="Moderado"),CONCATENATE("R",'Mapa final'!#REF!),"")</f>
        <v>#REF!</v>
      </c>
      <c r="W10" s="336"/>
      <c r="X10" s="336" t="e">
        <f>IF(AND('Mapa final'!#REF!="Muy Alta",'Mapa final'!#REF!="Moderado"),CONCATENATE("R",'Mapa final'!#REF!),"")</f>
        <v>#REF!</v>
      </c>
      <c r="Y10" s="336"/>
      <c r="Z10" s="336" t="e">
        <f>IF(AND('Mapa final'!#REF!="Muy Alta",'Mapa final'!#REF!="Moderado"),CONCATENATE("R",'Mapa final'!#REF!),"")</f>
        <v>#REF!</v>
      </c>
      <c r="AA10" s="337"/>
      <c r="AB10" s="340" t="e">
        <f>IF(AND('Mapa final'!#REF!="Muy Alta",'Mapa final'!#REF!="Mayor"),CONCATENATE("R",'Mapa final'!#REF!),"")</f>
        <v>#REF!</v>
      </c>
      <c r="AC10" s="336"/>
      <c r="AD10" s="336" t="e">
        <f>IF(AND('Mapa final'!#REF!="Muy Alta",'Mapa final'!#REF!="Mayor"),CONCATENATE("R",'Mapa final'!#REF!),"")</f>
        <v>#REF!</v>
      </c>
      <c r="AE10" s="336"/>
      <c r="AF10" s="336" t="e">
        <f>IF(AND('Mapa final'!#REF!="Muy Alta",'Mapa final'!#REF!="Mayor"),CONCATENATE("R",'Mapa final'!#REF!),"")</f>
        <v>#REF!</v>
      </c>
      <c r="AG10" s="337"/>
      <c r="AH10" s="347" t="e">
        <f>IF(AND('Mapa final'!#REF!="Muy Alta",'Mapa final'!#REF!="Catastrófico"),CONCATENATE("R",'Mapa final'!#REF!),"")</f>
        <v>#REF!</v>
      </c>
      <c r="AI10" s="348"/>
      <c r="AJ10" s="348" t="e">
        <f>IF(AND('Mapa final'!#REF!="Muy Alta",'Mapa final'!#REF!="Catastrófico"),CONCATENATE("R",'Mapa final'!#REF!),"")</f>
        <v>#REF!</v>
      </c>
      <c r="AK10" s="348"/>
      <c r="AL10" s="348" t="e">
        <f>IF(AND('Mapa final'!#REF!="Muy Alta",'Mapa final'!#REF!="Catastrófico"),CONCATENATE("R",'Mapa final'!#REF!),"")</f>
        <v>#REF!</v>
      </c>
      <c r="AM10" s="349"/>
      <c r="AN10" s="75"/>
      <c r="AO10" s="294"/>
      <c r="AP10" s="295"/>
      <c r="AQ10" s="295"/>
      <c r="AR10" s="295"/>
      <c r="AS10" s="295"/>
      <c r="AT10" s="296"/>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c r="A11" s="75"/>
      <c r="B11" s="289"/>
      <c r="C11" s="289"/>
      <c r="D11" s="290"/>
      <c r="E11" s="330"/>
      <c r="F11" s="331"/>
      <c r="G11" s="331"/>
      <c r="H11" s="331"/>
      <c r="I11" s="332"/>
      <c r="J11" s="340"/>
      <c r="K11" s="336"/>
      <c r="L11" s="336"/>
      <c r="M11" s="336"/>
      <c r="N11" s="336"/>
      <c r="O11" s="337"/>
      <c r="P11" s="340"/>
      <c r="Q11" s="336"/>
      <c r="R11" s="336"/>
      <c r="S11" s="336"/>
      <c r="T11" s="336"/>
      <c r="U11" s="337"/>
      <c r="V11" s="340"/>
      <c r="W11" s="336"/>
      <c r="X11" s="336"/>
      <c r="Y11" s="336"/>
      <c r="Z11" s="336"/>
      <c r="AA11" s="337"/>
      <c r="AB11" s="340"/>
      <c r="AC11" s="336"/>
      <c r="AD11" s="336"/>
      <c r="AE11" s="336"/>
      <c r="AF11" s="336"/>
      <c r="AG11" s="337"/>
      <c r="AH11" s="347"/>
      <c r="AI11" s="348"/>
      <c r="AJ11" s="348"/>
      <c r="AK11" s="348"/>
      <c r="AL11" s="348"/>
      <c r="AM11" s="349"/>
      <c r="AN11" s="75"/>
      <c r="AO11" s="294"/>
      <c r="AP11" s="295"/>
      <c r="AQ11" s="295"/>
      <c r="AR11" s="295"/>
      <c r="AS11" s="295"/>
      <c r="AT11" s="296"/>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c r="A12" s="75"/>
      <c r="B12" s="289"/>
      <c r="C12" s="289"/>
      <c r="D12" s="290"/>
      <c r="E12" s="330"/>
      <c r="F12" s="331"/>
      <c r="G12" s="331"/>
      <c r="H12" s="331"/>
      <c r="I12" s="332"/>
      <c r="J12" s="340" t="e">
        <f>IF(AND('Mapa final'!#REF!="Muy Alta",'Mapa final'!#REF!="Leve"),CONCATENATE("R",'Mapa final'!#REF!),"")</f>
        <v>#REF!</v>
      </c>
      <c r="K12" s="336"/>
      <c r="L12" s="336" t="str">
        <f>IF(AND('Mapa final'!$L$17="Muy Alta",'Mapa final'!$P$17="Leve"),CONCATENATE("R",'Mapa final'!$A$17),"")</f>
        <v/>
      </c>
      <c r="M12" s="336"/>
      <c r="N12" s="336" t="str">
        <f>IF(AND('Mapa final'!$L$19="Muy Alta",'Mapa final'!$P$19="Leve"),CONCATENATE("R",'Mapa final'!$A$19),"")</f>
        <v/>
      </c>
      <c r="O12" s="337"/>
      <c r="P12" s="340" t="e">
        <f>IF(AND('Mapa final'!#REF!="Muy Alta",'Mapa final'!#REF!="Menor"),CONCATENATE("R",'Mapa final'!#REF!),"")</f>
        <v>#REF!</v>
      </c>
      <c r="Q12" s="336"/>
      <c r="R12" s="336" t="str">
        <f>IF(AND('Mapa final'!$L$17="Muy Alta",'Mapa final'!$P$17="Menor"),CONCATENATE("R",'Mapa final'!$A$17),"")</f>
        <v/>
      </c>
      <c r="S12" s="336"/>
      <c r="T12" s="336" t="str">
        <f>IF(AND('Mapa final'!$L$19="Muy Alta",'Mapa final'!$P$19="Menor"),CONCATENATE("R",'Mapa final'!$A$19),"")</f>
        <v/>
      </c>
      <c r="U12" s="337"/>
      <c r="V12" s="340" t="e">
        <f>IF(AND('Mapa final'!#REF!="Muy Alta",'Mapa final'!#REF!="Moderado"),CONCATENATE("R",'Mapa final'!#REF!),"")</f>
        <v>#REF!</v>
      </c>
      <c r="W12" s="336"/>
      <c r="X12" s="336" t="str">
        <f>IF(AND('Mapa final'!$L$17="Muy Alta",'Mapa final'!$P$17="Moderado"),CONCATENATE("R",'Mapa final'!$A$17),"")</f>
        <v/>
      </c>
      <c r="Y12" s="336"/>
      <c r="Z12" s="336" t="str">
        <f>IF(AND('Mapa final'!$L$19="Muy Alta",'Mapa final'!$P$19="Moderado"),CONCATENATE("R",'Mapa final'!$A$19),"")</f>
        <v/>
      </c>
      <c r="AA12" s="337"/>
      <c r="AB12" s="340" t="e">
        <f>IF(AND('Mapa final'!#REF!="Muy Alta",'Mapa final'!#REF!="Mayor"),CONCATENATE("R",'Mapa final'!#REF!),"")</f>
        <v>#REF!</v>
      </c>
      <c r="AC12" s="336"/>
      <c r="AD12" s="336" t="str">
        <f>IF(AND('Mapa final'!$L$17="Muy Alta",'Mapa final'!$P$17="Mayor"),CONCATENATE("R",'Mapa final'!$A$17),"")</f>
        <v/>
      </c>
      <c r="AE12" s="336"/>
      <c r="AF12" s="336" t="str">
        <f>IF(AND('Mapa final'!$L$19="Muy Alta",'Mapa final'!$P$19="Mayor"),CONCATENATE("R",'Mapa final'!$A$19),"")</f>
        <v/>
      </c>
      <c r="AG12" s="337"/>
      <c r="AH12" s="347" t="e">
        <f>IF(AND('Mapa final'!#REF!="Muy Alta",'Mapa final'!#REF!="Catastrófico"),CONCATENATE("R",'Mapa final'!#REF!),"")</f>
        <v>#REF!</v>
      </c>
      <c r="AI12" s="348"/>
      <c r="AJ12" s="348" t="str">
        <f>IF(AND('Mapa final'!$L$17="Muy Alta",'Mapa final'!$P$17="Catastrófico"),CONCATENATE("R",'Mapa final'!$A$17),"")</f>
        <v/>
      </c>
      <c r="AK12" s="348"/>
      <c r="AL12" s="348" t="str">
        <f>IF(AND('Mapa final'!$L$19="Muy Alta",'Mapa final'!$P$19="Catastrófico"),CONCATENATE("R",'Mapa final'!$A$19),"")</f>
        <v/>
      </c>
      <c r="AM12" s="349"/>
      <c r="AN12" s="75"/>
      <c r="AO12" s="294"/>
      <c r="AP12" s="295"/>
      <c r="AQ12" s="295"/>
      <c r="AR12" s="295"/>
      <c r="AS12" s="295"/>
      <c r="AT12" s="296"/>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c r="A13" s="75"/>
      <c r="B13" s="289"/>
      <c r="C13" s="289"/>
      <c r="D13" s="290"/>
      <c r="E13" s="333"/>
      <c r="F13" s="334"/>
      <c r="G13" s="334"/>
      <c r="H13" s="334"/>
      <c r="I13" s="335"/>
      <c r="J13" s="340"/>
      <c r="K13" s="336"/>
      <c r="L13" s="336"/>
      <c r="M13" s="336"/>
      <c r="N13" s="336"/>
      <c r="O13" s="337"/>
      <c r="P13" s="340"/>
      <c r="Q13" s="336"/>
      <c r="R13" s="336"/>
      <c r="S13" s="336"/>
      <c r="T13" s="336"/>
      <c r="U13" s="337"/>
      <c r="V13" s="340"/>
      <c r="W13" s="336"/>
      <c r="X13" s="336"/>
      <c r="Y13" s="336"/>
      <c r="Z13" s="336"/>
      <c r="AA13" s="337"/>
      <c r="AB13" s="340"/>
      <c r="AC13" s="336"/>
      <c r="AD13" s="336"/>
      <c r="AE13" s="336"/>
      <c r="AF13" s="336"/>
      <c r="AG13" s="337"/>
      <c r="AH13" s="350"/>
      <c r="AI13" s="351"/>
      <c r="AJ13" s="351"/>
      <c r="AK13" s="351"/>
      <c r="AL13" s="351"/>
      <c r="AM13" s="352"/>
      <c r="AN13" s="75"/>
      <c r="AO13" s="297"/>
      <c r="AP13" s="298"/>
      <c r="AQ13" s="298"/>
      <c r="AR13" s="298"/>
      <c r="AS13" s="298"/>
      <c r="AT13" s="29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c r="A14" s="75"/>
      <c r="B14" s="289"/>
      <c r="C14" s="289"/>
      <c r="D14" s="290"/>
      <c r="E14" s="327" t="s">
        <v>114</v>
      </c>
      <c r="F14" s="328"/>
      <c r="G14" s="328"/>
      <c r="H14" s="328"/>
      <c r="I14" s="328"/>
      <c r="J14" s="362" t="e">
        <f>IF(AND('Mapa final'!#REF!="Alta",'Mapa final'!#REF!="Leve"),CONCATENATE("R",'Mapa final'!#REF!),"")</f>
        <v>#REF!</v>
      </c>
      <c r="K14" s="363"/>
      <c r="L14" s="363" t="str">
        <f>IF(AND('Mapa final'!$L$11="Alta",'Mapa final'!$P$11="Leve"),CONCATENATE("R",'Mapa final'!$A$11),"")</f>
        <v/>
      </c>
      <c r="M14" s="363"/>
      <c r="N14" s="363" t="e">
        <f>IF(AND('Mapa final'!#REF!="Alta",'Mapa final'!#REF!="Leve"),CONCATENATE("R",'Mapa final'!#REF!),"")</f>
        <v>#REF!</v>
      </c>
      <c r="O14" s="364"/>
      <c r="P14" s="362" t="e">
        <f>IF(AND('Mapa final'!#REF!="Alta",'Mapa final'!#REF!="Menor"),CONCATENATE("R",'Mapa final'!#REF!),"")</f>
        <v>#REF!</v>
      </c>
      <c r="Q14" s="363"/>
      <c r="R14" s="363" t="str">
        <f>IF(AND('Mapa final'!$L$11="Alta",'Mapa final'!$P$11="Menor"),CONCATENATE("R",'Mapa final'!$A$11),"")</f>
        <v/>
      </c>
      <c r="S14" s="363"/>
      <c r="T14" s="363" t="e">
        <f>IF(AND('Mapa final'!#REF!="Alta",'Mapa final'!#REF!="Menor"),CONCATENATE("R",'Mapa final'!#REF!),"")</f>
        <v>#REF!</v>
      </c>
      <c r="U14" s="364"/>
      <c r="V14" s="338" t="e">
        <f>IF(AND('Mapa final'!#REF!="Alta",'Mapa final'!#REF!="Moderado"),CONCATENATE("R",'Mapa final'!#REF!),"")</f>
        <v>#REF!</v>
      </c>
      <c r="W14" s="339"/>
      <c r="X14" s="339" t="str">
        <f>IF(AND('Mapa final'!$L$11="Alta",'Mapa final'!$P$11="Moderado"),CONCATENATE("R",'Mapa final'!$A$11),"")</f>
        <v/>
      </c>
      <c r="Y14" s="339"/>
      <c r="Z14" s="339" t="e">
        <f>IF(AND('Mapa final'!#REF!="Alta",'Mapa final'!#REF!="Moderado"),CONCATENATE("R",'Mapa final'!#REF!),"")</f>
        <v>#REF!</v>
      </c>
      <c r="AA14" s="341"/>
      <c r="AB14" s="338" t="e">
        <f>IF(AND('Mapa final'!#REF!="Alta",'Mapa final'!#REF!="Mayor"),CONCATENATE("R",'Mapa final'!#REF!),"")</f>
        <v>#REF!</v>
      </c>
      <c r="AC14" s="339"/>
      <c r="AD14" s="339" t="str">
        <f>IF(AND('Mapa final'!$L$11="Alta",'Mapa final'!$P$11="Mayor"),CONCATENATE("R",'Mapa final'!$A$11),"")</f>
        <v/>
      </c>
      <c r="AE14" s="339"/>
      <c r="AF14" s="339" t="e">
        <f>IF(AND('Mapa final'!#REF!="Alta",'Mapa final'!#REF!="Mayor"),CONCATENATE("R",'Mapa final'!#REF!),"")</f>
        <v>#REF!</v>
      </c>
      <c r="AG14" s="341"/>
      <c r="AH14" s="353" t="e">
        <f>IF(AND('Mapa final'!#REF!="Alta",'Mapa final'!#REF!="Catastrófico"),CONCATENATE("R",'Mapa final'!#REF!),"")</f>
        <v>#REF!</v>
      </c>
      <c r="AI14" s="354"/>
      <c r="AJ14" s="354" t="str">
        <f>IF(AND('Mapa final'!$L$11="Alta",'Mapa final'!$P$11="Catastrófico"),CONCATENATE("R",'Mapa final'!$A$11),"")</f>
        <v/>
      </c>
      <c r="AK14" s="354"/>
      <c r="AL14" s="354" t="e">
        <f>IF(AND('Mapa final'!#REF!="Alta",'Mapa final'!#REF!="Catastrófico"),CONCATENATE("R",'Mapa final'!#REF!),"")</f>
        <v>#REF!</v>
      </c>
      <c r="AM14" s="355"/>
      <c r="AN14" s="75"/>
      <c r="AO14" s="300" t="s">
        <v>79</v>
      </c>
      <c r="AP14" s="301"/>
      <c r="AQ14" s="301"/>
      <c r="AR14" s="301"/>
      <c r="AS14" s="301"/>
      <c r="AT14" s="302"/>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c r="A15" s="75"/>
      <c r="B15" s="289"/>
      <c r="C15" s="289"/>
      <c r="D15" s="290"/>
      <c r="E15" s="330"/>
      <c r="F15" s="331"/>
      <c r="G15" s="331"/>
      <c r="H15" s="331"/>
      <c r="I15" s="331"/>
      <c r="J15" s="356"/>
      <c r="K15" s="357"/>
      <c r="L15" s="357"/>
      <c r="M15" s="357"/>
      <c r="N15" s="357"/>
      <c r="O15" s="358"/>
      <c r="P15" s="356"/>
      <c r="Q15" s="357"/>
      <c r="R15" s="357"/>
      <c r="S15" s="357"/>
      <c r="T15" s="357"/>
      <c r="U15" s="358"/>
      <c r="V15" s="340"/>
      <c r="W15" s="336"/>
      <c r="X15" s="336"/>
      <c r="Y15" s="336"/>
      <c r="Z15" s="336"/>
      <c r="AA15" s="337"/>
      <c r="AB15" s="340"/>
      <c r="AC15" s="336"/>
      <c r="AD15" s="336"/>
      <c r="AE15" s="336"/>
      <c r="AF15" s="336"/>
      <c r="AG15" s="337"/>
      <c r="AH15" s="347"/>
      <c r="AI15" s="348"/>
      <c r="AJ15" s="348"/>
      <c r="AK15" s="348"/>
      <c r="AL15" s="348"/>
      <c r="AM15" s="349"/>
      <c r="AN15" s="75"/>
      <c r="AO15" s="303"/>
      <c r="AP15" s="304"/>
      <c r="AQ15" s="304"/>
      <c r="AR15" s="304"/>
      <c r="AS15" s="304"/>
      <c r="AT15" s="30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c r="A16" s="75"/>
      <c r="B16" s="289"/>
      <c r="C16" s="289"/>
      <c r="D16" s="290"/>
      <c r="E16" s="330"/>
      <c r="F16" s="331"/>
      <c r="G16" s="331"/>
      <c r="H16" s="331"/>
      <c r="I16" s="331"/>
      <c r="J16" s="356" t="e">
        <f>IF(AND('Mapa final'!#REF!="Alta",'Mapa final'!#REF!="Leve"),CONCATENATE("R",'Mapa final'!#REF!),"")</f>
        <v>#REF!</v>
      </c>
      <c r="K16" s="357"/>
      <c r="L16" s="357" t="e">
        <f>IF(AND('Mapa final'!#REF!="Alta",'Mapa final'!#REF!="Leve"),CONCATENATE("R",'Mapa final'!#REF!),"")</f>
        <v>#REF!</v>
      </c>
      <c r="M16" s="357"/>
      <c r="N16" s="357" t="e">
        <f>IF(AND('Mapa final'!#REF!="Alta",'Mapa final'!#REF!="Leve"),CONCATENATE("R",'Mapa final'!#REF!),"")</f>
        <v>#REF!</v>
      </c>
      <c r="O16" s="358"/>
      <c r="P16" s="356" t="e">
        <f>IF(AND('Mapa final'!#REF!="Alta",'Mapa final'!#REF!="Menor"),CONCATENATE("R",'Mapa final'!#REF!),"")</f>
        <v>#REF!</v>
      </c>
      <c r="Q16" s="357"/>
      <c r="R16" s="357" t="e">
        <f>IF(AND('Mapa final'!#REF!="Alta",'Mapa final'!#REF!="Menor"),CONCATENATE("R",'Mapa final'!#REF!),"")</f>
        <v>#REF!</v>
      </c>
      <c r="S16" s="357"/>
      <c r="T16" s="357" t="e">
        <f>IF(AND('Mapa final'!#REF!="Alta",'Mapa final'!#REF!="Menor"),CONCATENATE("R",'Mapa final'!#REF!),"")</f>
        <v>#REF!</v>
      </c>
      <c r="U16" s="358"/>
      <c r="V16" s="340" t="e">
        <f>IF(AND('Mapa final'!#REF!="Alta",'Mapa final'!#REF!="Moderado"),CONCATENATE("R",'Mapa final'!#REF!),"")</f>
        <v>#REF!</v>
      </c>
      <c r="W16" s="336"/>
      <c r="X16" s="336" t="e">
        <f>IF(AND('Mapa final'!#REF!="Alta",'Mapa final'!#REF!="Moderado"),CONCATENATE("R",'Mapa final'!#REF!),"")</f>
        <v>#REF!</v>
      </c>
      <c r="Y16" s="336"/>
      <c r="Z16" s="336" t="e">
        <f>IF(AND('Mapa final'!#REF!="Alta",'Mapa final'!#REF!="Moderado"),CONCATENATE("R",'Mapa final'!#REF!),"")</f>
        <v>#REF!</v>
      </c>
      <c r="AA16" s="337"/>
      <c r="AB16" s="340" t="e">
        <f>IF(AND('Mapa final'!#REF!="Alta",'Mapa final'!#REF!="Mayor"),CONCATENATE("R",'Mapa final'!#REF!),"")</f>
        <v>#REF!</v>
      </c>
      <c r="AC16" s="336"/>
      <c r="AD16" s="336" t="e">
        <f>IF(AND('Mapa final'!#REF!="Alta",'Mapa final'!#REF!="Mayor"),CONCATENATE("R",'Mapa final'!#REF!),"")</f>
        <v>#REF!</v>
      </c>
      <c r="AE16" s="336"/>
      <c r="AF16" s="336" t="e">
        <f>IF(AND('Mapa final'!#REF!="Alta",'Mapa final'!#REF!="Mayor"),CONCATENATE("R",'Mapa final'!#REF!),"")</f>
        <v>#REF!</v>
      </c>
      <c r="AG16" s="337"/>
      <c r="AH16" s="347" t="e">
        <f>IF(AND('Mapa final'!#REF!="Alta",'Mapa final'!#REF!="Catastrófico"),CONCATENATE("R",'Mapa final'!#REF!),"")</f>
        <v>#REF!</v>
      </c>
      <c r="AI16" s="348"/>
      <c r="AJ16" s="348" t="e">
        <f>IF(AND('Mapa final'!#REF!="Alta",'Mapa final'!#REF!="Catastrófico"),CONCATENATE("R",'Mapa final'!#REF!),"")</f>
        <v>#REF!</v>
      </c>
      <c r="AK16" s="348"/>
      <c r="AL16" s="348" t="e">
        <f>IF(AND('Mapa final'!#REF!="Alta",'Mapa final'!#REF!="Catastrófico"),CONCATENATE("R",'Mapa final'!#REF!),"")</f>
        <v>#REF!</v>
      </c>
      <c r="AM16" s="349"/>
      <c r="AN16" s="75"/>
      <c r="AO16" s="303"/>
      <c r="AP16" s="304"/>
      <c r="AQ16" s="304"/>
      <c r="AR16" s="304"/>
      <c r="AS16" s="304"/>
      <c r="AT16" s="30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c r="A17" s="75"/>
      <c r="B17" s="289"/>
      <c r="C17" s="289"/>
      <c r="D17" s="290"/>
      <c r="E17" s="330"/>
      <c r="F17" s="331"/>
      <c r="G17" s="331"/>
      <c r="H17" s="331"/>
      <c r="I17" s="331"/>
      <c r="J17" s="356"/>
      <c r="K17" s="357"/>
      <c r="L17" s="357"/>
      <c r="M17" s="357"/>
      <c r="N17" s="357"/>
      <c r="O17" s="358"/>
      <c r="P17" s="356"/>
      <c r="Q17" s="357"/>
      <c r="R17" s="357"/>
      <c r="S17" s="357"/>
      <c r="T17" s="357"/>
      <c r="U17" s="358"/>
      <c r="V17" s="340"/>
      <c r="W17" s="336"/>
      <c r="X17" s="336"/>
      <c r="Y17" s="336"/>
      <c r="Z17" s="336"/>
      <c r="AA17" s="337"/>
      <c r="AB17" s="340"/>
      <c r="AC17" s="336"/>
      <c r="AD17" s="336"/>
      <c r="AE17" s="336"/>
      <c r="AF17" s="336"/>
      <c r="AG17" s="337"/>
      <c r="AH17" s="347"/>
      <c r="AI17" s="348"/>
      <c r="AJ17" s="348"/>
      <c r="AK17" s="348"/>
      <c r="AL17" s="348"/>
      <c r="AM17" s="349"/>
      <c r="AN17" s="75"/>
      <c r="AO17" s="303"/>
      <c r="AP17" s="304"/>
      <c r="AQ17" s="304"/>
      <c r="AR17" s="304"/>
      <c r="AS17" s="304"/>
      <c r="AT17" s="30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c r="A18" s="75"/>
      <c r="B18" s="289"/>
      <c r="C18" s="289"/>
      <c r="D18" s="290"/>
      <c r="E18" s="330"/>
      <c r="F18" s="331"/>
      <c r="G18" s="331"/>
      <c r="H18" s="331"/>
      <c r="I18" s="331"/>
      <c r="J18" s="356" t="e">
        <f>IF(AND('Mapa final'!#REF!="Alta",'Mapa final'!#REF!="Leve"),CONCATENATE("R",'Mapa final'!#REF!),"")</f>
        <v>#REF!</v>
      </c>
      <c r="K18" s="357"/>
      <c r="L18" s="357" t="e">
        <f>IF(AND('Mapa final'!#REF!="Alta",'Mapa final'!#REF!="Leve"),CONCATENATE("R",'Mapa final'!#REF!),"")</f>
        <v>#REF!</v>
      </c>
      <c r="M18" s="357"/>
      <c r="N18" s="357" t="e">
        <f>IF(AND('Mapa final'!#REF!="Alta",'Mapa final'!#REF!="Leve"),CONCATENATE("R",'Mapa final'!#REF!),"")</f>
        <v>#REF!</v>
      </c>
      <c r="O18" s="358"/>
      <c r="P18" s="356" t="e">
        <f>IF(AND('Mapa final'!#REF!="Alta",'Mapa final'!#REF!="Menor"),CONCATENATE("R",'Mapa final'!#REF!),"")</f>
        <v>#REF!</v>
      </c>
      <c r="Q18" s="357"/>
      <c r="R18" s="357" t="e">
        <f>IF(AND('Mapa final'!#REF!="Alta",'Mapa final'!#REF!="Menor"),CONCATENATE("R",'Mapa final'!#REF!),"")</f>
        <v>#REF!</v>
      </c>
      <c r="S18" s="357"/>
      <c r="T18" s="357" t="e">
        <f>IF(AND('Mapa final'!#REF!="Alta",'Mapa final'!#REF!="Menor"),CONCATENATE("R",'Mapa final'!#REF!),"")</f>
        <v>#REF!</v>
      </c>
      <c r="U18" s="358"/>
      <c r="V18" s="340" t="e">
        <f>IF(AND('Mapa final'!#REF!="Alta",'Mapa final'!#REF!="Moderado"),CONCATENATE("R",'Mapa final'!#REF!),"")</f>
        <v>#REF!</v>
      </c>
      <c r="W18" s="336"/>
      <c r="X18" s="336" t="e">
        <f>IF(AND('Mapa final'!#REF!="Alta",'Mapa final'!#REF!="Moderado"),CONCATENATE("R",'Mapa final'!#REF!),"")</f>
        <v>#REF!</v>
      </c>
      <c r="Y18" s="336"/>
      <c r="Z18" s="336" t="e">
        <f>IF(AND('Mapa final'!#REF!="Alta",'Mapa final'!#REF!="Moderado"),CONCATENATE("R",'Mapa final'!#REF!),"")</f>
        <v>#REF!</v>
      </c>
      <c r="AA18" s="337"/>
      <c r="AB18" s="340" t="e">
        <f>IF(AND('Mapa final'!#REF!="Alta",'Mapa final'!#REF!="Mayor"),CONCATENATE("R",'Mapa final'!#REF!),"")</f>
        <v>#REF!</v>
      </c>
      <c r="AC18" s="336"/>
      <c r="AD18" s="336" t="e">
        <f>IF(AND('Mapa final'!#REF!="Alta",'Mapa final'!#REF!="Mayor"),CONCATENATE("R",'Mapa final'!#REF!),"")</f>
        <v>#REF!</v>
      </c>
      <c r="AE18" s="336"/>
      <c r="AF18" s="336" t="e">
        <f>IF(AND('Mapa final'!#REF!="Alta",'Mapa final'!#REF!="Mayor"),CONCATENATE("R",'Mapa final'!#REF!),"")</f>
        <v>#REF!</v>
      </c>
      <c r="AG18" s="337"/>
      <c r="AH18" s="347" t="e">
        <f>IF(AND('Mapa final'!#REF!="Alta",'Mapa final'!#REF!="Catastrófico"),CONCATENATE("R",'Mapa final'!#REF!),"")</f>
        <v>#REF!</v>
      </c>
      <c r="AI18" s="348"/>
      <c r="AJ18" s="348" t="e">
        <f>IF(AND('Mapa final'!#REF!="Alta",'Mapa final'!#REF!="Catastrófico"),CONCATENATE("R",'Mapa final'!#REF!),"")</f>
        <v>#REF!</v>
      </c>
      <c r="AK18" s="348"/>
      <c r="AL18" s="348" t="e">
        <f>IF(AND('Mapa final'!#REF!="Alta",'Mapa final'!#REF!="Catastrófico"),CONCATENATE("R",'Mapa final'!#REF!),"")</f>
        <v>#REF!</v>
      </c>
      <c r="AM18" s="349"/>
      <c r="AN18" s="75"/>
      <c r="AO18" s="303"/>
      <c r="AP18" s="304"/>
      <c r="AQ18" s="304"/>
      <c r="AR18" s="304"/>
      <c r="AS18" s="304"/>
      <c r="AT18" s="30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c r="A19" s="75"/>
      <c r="B19" s="289"/>
      <c r="C19" s="289"/>
      <c r="D19" s="290"/>
      <c r="E19" s="330"/>
      <c r="F19" s="331"/>
      <c r="G19" s="331"/>
      <c r="H19" s="331"/>
      <c r="I19" s="331"/>
      <c r="J19" s="356"/>
      <c r="K19" s="357"/>
      <c r="L19" s="357"/>
      <c r="M19" s="357"/>
      <c r="N19" s="357"/>
      <c r="O19" s="358"/>
      <c r="P19" s="356"/>
      <c r="Q19" s="357"/>
      <c r="R19" s="357"/>
      <c r="S19" s="357"/>
      <c r="T19" s="357"/>
      <c r="U19" s="358"/>
      <c r="V19" s="340"/>
      <c r="W19" s="336"/>
      <c r="X19" s="336"/>
      <c r="Y19" s="336"/>
      <c r="Z19" s="336"/>
      <c r="AA19" s="337"/>
      <c r="AB19" s="340"/>
      <c r="AC19" s="336"/>
      <c r="AD19" s="336"/>
      <c r="AE19" s="336"/>
      <c r="AF19" s="336"/>
      <c r="AG19" s="337"/>
      <c r="AH19" s="347"/>
      <c r="AI19" s="348"/>
      <c r="AJ19" s="348"/>
      <c r="AK19" s="348"/>
      <c r="AL19" s="348"/>
      <c r="AM19" s="349"/>
      <c r="AN19" s="75"/>
      <c r="AO19" s="303"/>
      <c r="AP19" s="304"/>
      <c r="AQ19" s="304"/>
      <c r="AR19" s="304"/>
      <c r="AS19" s="304"/>
      <c r="AT19" s="30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c r="A20" s="75"/>
      <c r="B20" s="289"/>
      <c r="C20" s="289"/>
      <c r="D20" s="290"/>
      <c r="E20" s="330"/>
      <c r="F20" s="331"/>
      <c r="G20" s="331"/>
      <c r="H20" s="331"/>
      <c r="I20" s="331"/>
      <c r="J20" s="356" t="e">
        <f>IF(AND('Mapa final'!#REF!="Alta",'Mapa final'!#REF!="Leve"),CONCATENATE("R",'Mapa final'!#REF!),"")</f>
        <v>#REF!</v>
      </c>
      <c r="K20" s="357"/>
      <c r="L20" s="357" t="str">
        <f>IF(AND('Mapa final'!$L$17="Alta",'Mapa final'!$P$17="Leve"),CONCATENATE("R",'Mapa final'!$A$17),"")</f>
        <v/>
      </c>
      <c r="M20" s="357"/>
      <c r="N20" s="357" t="str">
        <f>IF(AND('Mapa final'!$L$19="Alta",'Mapa final'!$P$19="Leve"),CONCATENATE("R",'Mapa final'!$A$19),"")</f>
        <v/>
      </c>
      <c r="O20" s="358"/>
      <c r="P20" s="356" t="e">
        <f>IF(AND('Mapa final'!#REF!="Alta",'Mapa final'!#REF!="Menor"),CONCATENATE("R",'Mapa final'!#REF!),"")</f>
        <v>#REF!</v>
      </c>
      <c r="Q20" s="357"/>
      <c r="R20" s="357" t="str">
        <f>IF(AND('Mapa final'!$L$17="Alta",'Mapa final'!$P$17="Menor"),CONCATENATE("R",'Mapa final'!$A$17),"")</f>
        <v/>
      </c>
      <c r="S20" s="357"/>
      <c r="T20" s="357" t="str">
        <f>IF(AND('Mapa final'!$L$19="Alta",'Mapa final'!$P$19="Menor"),CONCATENATE("R",'Mapa final'!$A$19),"")</f>
        <v/>
      </c>
      <c r="U20" s="358"/>
      <c r="V20" s="340" t="e">
        <f>IF(AND('Mapa final'!#REF!="Alta",'Mapa final'!#REF!="Moderado"),CONCATENATE("R",'Mapa final'!#REF!),"")</f>
        <v>#REF!</v>
      </c>
      <c r="W20" s="336"/>
      <c r="X20" s="336" t="str">
        <f>IF(AND('Mapa final'!$L$17="Alta",'Mapa final'!$P$17="Moderado"),CONCATENATE("R",'Mapa final'!$A$17),"")</f>
        <v/>
      </c>
      <c r="Y20" s="336"/>
      <c r="Z20" s="336" t="str">
        <f>IF(AND('Mapa final'!$L$19="Alta",'Mapa final'!$P$19="Moderado"),CONCATENATE("R",'Mapa final'!$A$19),"")</f>
        <v/>
      </c>
      <c r="AA20" s="337"/>
      <c r="AB20" s="340" t="e">
        <f>IF(AND('Mapa final'!#REF!="Alta",'Mapa final'!#REF!="Mayor"),CONCATENATE("R",'Mapa final'!#REF!),"")</f>
        <v>#REF!</v>
      </c>
      <c r="AC20" s="336"/>
      <c r="AD20" s="336" t="str">
        <f>IF(AND('Mapa final'!$L$17="Alta",'Mapa final'!$P$17="Mayor"),CONCATENATE("R",'Mapa final'!$A$17),"")</f>
        <v/>
      </c>
      <c r="AE20" s="336"/>
      <c r="AF20" s="336" t="str">
        <f>IF(AND('Mapa final'!$L$19="Alta",'Mapa final'!$P$19="Mayor"),CONCATENATE("R",'Mapa final'!$A$19),"")</f>
        <v/>
      </c>
      <c r="AG20" s="337"/>
      <c r="AH20" s="347" t="e">
        <f>IF(AND('Mapa final'!#REF!="Alta",'Mapa final'!#REF!="Catastrófico"),CONCATENATE("R",'Mapa final'!#REF!),"")</f>
        <v>#REF!</v>
      </c>
      <c r="AI20" s="348"/>
      <c r="AJ20" s="348" t="str">
        <f>IF(AND('Mapa final'!$L$17="Alta",'Mapa final'!$P$17="Catastrófico"),CONCATENATE("R",'Mapa final'!$A$17),"")</f>
        <v/>
      </c>
      <c r="AK20" s="348"/>
      <c r="AL20" s="348" t="str">
        <f>IF(AND('Mapa final'!$L$19="Alta",'Mapa final'!$P$19="Catastrófico"),CONCATENATE("R",'Mapa final'!$A$19),"")</f>
        <v/>
      </c>
      <c r="AM20" s="349"/>
      <c r="AN20" s="75"/>
      <c r="AO20" s="303"/>
      <c r="AP20" s="304"/>
      <c r="AQ20" s="304"/>
      <c r="AR20" s="304"/>
      <c r="AS20" s="304"/>
      <c r="AT20" s="30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c r="A21" s="75"/>
      <c r="B21" s="289"/>
      <c r="C21" s="289"/>
      <c r="D21" s="290"/>
      <c r="E21" s="333"/>
      <c r="F21" s="334"/>
      <c r="G21" s="334"/>
      <c r="H21" s="334"/>
      <c r="I21" s="334"/>
      <c r="J21" s="359"/>
      <c r="K21" s="360"/>
      <c r="L21" s="360"/>
      <c r="M21" s="360"/>
      <c r="N21" s="360"/>
      <c r="O21" s="361"/>
      <c r="P21" s="359"/>
      <c r="Q21" s="360"/>
      <c r="R21" s="360"/>
      <c r="S21" s="360"/>
      <c r="T21" s="360"/>
      <c r="U21" s="361"/>
      <c r="V21" s="344"/>
      <c r="W21" s="345"/>
      <c r="X21" s="345"/>
      <c r="Y21" s="345"/>
      <c r="Z21" s="345"/>
      <c r="AA21" s="346"/>
      <c r="AB21" s="344"/>
      <c r="AC21" s="345"/>
      <c r="AD21" s="345"/>
      <c r="AE21" s="345"/>
      <c r="AF21" s="345"/>
      <c r="AG21" s="346"/>
      <c r="AH21" s="350"/>
      <c r="AI21" s="351"/>
      <c r="AJ21" s="351"/>
      <c r="AK21" s="351"/>
      <c r="AL21" s="351"/>
      <c r="AM21" s="352"/>
      <c r="AN21" s="75"/>
      <c r="AO21" s="306"/>
      <c r="AP21" s="307"/>
      <c r="AQ21" s="307"/>
      <c r="AR21" s="307"/>
      <c r="AS21" s="307"/>
      <c r="AT21" s="308"/>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c r="A22" s="75"/>
      <c r="B22" s="289"/>
      <c r="C22" s="289"/>
      <c r="D22" s="290"/>
      <c r="E22" s="327" t="s">
        <v>116</v>
      </c>
      <c r="F22" s="328"/>
      <c r="G22" s="328"/>
      <c r="H22" s="328"/>
      <c r="I22" s="329"/>
      <c r="J22" s="362" t="e">
        <f>IF(AND('Mapa final'!#REF!="Media",'Mapa final'!#REF!="Leve"),CONCATENATE("R",'Mapa final'!#REF!),"")</f>
        <v>#REF!</v>
      </c>
      <c r="K22" s="363"/>
      <c r="L22" s="363" t="str">
        <f>IF(AND('Mapa final'!$L$11="Media",'Mapa final'!$P$11="Leve"),CONCATENATE("R",'Mapa final'!$A$11),"")</f>
        <v/>
      </c>
      <c r="M22" s="363"/>
      <c r="N22" s="363" t="e">
        <f>IF(AND('Mapa final'!#REF!="Media",'Mapa final'!#REF!="Leve"),CONCATENATE("R",'Mapa final'!#REF!),"")</f>
        <v>#REF!</v>
      </c>
      <c r="O22" s="364"/>
      <c r="P22" s="362" t="e">
        <f>IF(AND('Mapa final'!#REF!="Media",'Mapa final'!#REF!="Menor"),CONCATENATE("R",'Mapa final'!#REF!),"")</f>
        <v>#REF!</v>
      </c>
      <c r="Q22" s="363"/>
      <c r="R22" s="363" t="str">
        <f>IF(AND('Mapa final'!$L$11="Media",'Mapa final'!$P$11="Menor"),CONCATENATE("R",'Mapa final'!$A$11),"")</f>
        <v/>
      </c>
      <c r="S22" s="363"/>
      <c r="T22" s="363" t="e">
        <f>IF(AND('Mapa final'!#REF!="Media",'Mapa final'!#REF!="Menor"),CONCATENATE("R",'Mapa final'!#REF!),"")</f>
        <v>#REF!</v>
      </c>
      <c r="U22" s="364"/>
      <c r="V22" s="362" t="e">
        <f>IF(AND('Mapa final'!#REF!="Media",'Mapa final'!#REF!="Moderado"),CONCATENATE("R",'Mapa final'!#REF!),"")</f>
        <v>#REF!</v>
      </c>
      <c r="W22" s="363"/>
      <c r="X22" s="363" t="str">
        <f>IF(AND('Mapa final'!$L$11="Media",'Mapa final'!$P$11="Moderado"),CONCATENATE("R",'Mapa final'!$A$11),"")</f>
        <v/>
      </c>
      <c r="Y22" s="363"/>
      <c r="Z22" s="363" t="e">
        <f>IF(AND('Mapa final'!#REF!="Media",'Mapa final'!#REF!="Moderado"),CONCATENATE("R",'Mapa final'!#REF!),"")</f>
        <v>#REF!</v>
      </c>
      <c r="AA22" s="364"/>
      <c r="AB22" s="338" t="e">
        <f>IF(AND('Mapa final'!#REF!="Media",'Mapa final'!#REF!="Mayor"),CONCATENATE("R",'Mapa final'!#REF!),"")</f>
        <v>#REF!</v>
      </c>
      <c r="AC22" s="339"/>
      <c r="AD22" s="339" t="str">
        <f>IF(AND('Mapa final'!$L$11="Media",'Mapa final'!$P$11="Mayor"),CONCATENATE("R",'Mapa final'!$A$11),"")</f>
        <v/>
      </c>
      <c r="AE22" s="339"/>
      <c r="AF22" s="339" t="e">
        <f>IF(AND('Mapa final'!#REF!="Media",'Mapa final'!#REF!="Mayor"),CONCATENATE("R",'Mapa final'!#REF!),"")</f>
        <v>#REF!</v>
      </c>
      <c r="AG22" s="341"/>
      <c r="AH22" s="353" t="e">
        <f>IF(AND('Mapa final'!#REF!="Media",'Mapa final'!#REF!="Catastrófico"),CONCATENATE("R",'Mapa final'!#REF!),"")</f>
        <v>#REF!</v>
      </c>
      <c r="AI22" s="354"/>
      <c r="AJ22" s="354" t="str">
        <f>IF(AND('Mapa final'!$L$11="Media",'Mapa final'!$P$11="Catastrófico"),CONCATENATE("R",'Mapa final'!$A$11),"")</f>
        <v/>
      </c>
      <c r="AK22" s="354"/>
      <c r="AL22" s="354" t="e">
        <f>IF(AND('Mapa final'!#REF!="Media",'Mapa final'!#REF!="Catastrófico"),CONCATENATE("R",'Mapa final'!#REF!),"")</f>
        <v>#REF!</v>
      </c>
      <c r="AM22" s="355"/>
      <c r="AN22" s="75"/>
      <c r="AO22" s="309" t="s">
        <v>80</v>
      </c>
      <c r="AP22" s="310"/>
      <c r="AQ22" s="310"/>
      <c r="AR22" s="310"/>
      <c r="AS22" s="310"/>
      <c r="AT22" s="31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c r="A23" s="75"/>
      <c r="B23" s="289"/>
      <c r="C23" s="289"/>
      <c r="D23" s="290"/>
      <c r="E23" s="330"/>
      <c r="F23" s="331"/>
      <c r="G23" s="331"/>
      <c r="H23" s="331"/>
      <c r="I23" s="332"/>
      <c r="J23" s="356"/>
      <c r="K23" s="357"/>
      <c r="L23" s="357"/>
      <c r="M23" s="357"/>
      <c r="N23" s="357"/>
      <c r="O23" s="358"/>
      <c r="P23" s="356"/>
      <c r="Q23" s="357"/>
      <c r="R23" s="357"/>
      <c r="S23" s="357"/>
      <c r="T23" s="357"/>
      <c r="U23" s="358"/>
      <c r="V23" s="356"/>
      <c r="W23" s="357"/>
      <c r="X23" s="357"/>
      <c r="Y23" s="357"/>
      <c r="Z23" s="357"/>
      <c r="AA23" s="358"/>
      <c r="AB23" s="340"/>
      <c r="AC23" s="336"/>
      <c r="AD23" s="336"/>
      <c r="AE23" s="336"/>
      <c r="AF23" s="336"/>
      <c r="AG23" s="337"/>
      <c r="AH23" s="347"/>
      <c r="AI23" s="348"/>
      <c r="AJ23" s="348"/>
      <c r="AK23" s="348"/>
      <c r="AL23" s="348"/>
      <c r="AM23" s="349"/>
      <c r="AN23" s="75"/>
      <c r="AO23" s="312"/>
      <c r="AP23" s="313"/>
      <c r="AQ23" s="313"/>
      <c r="AR23" s="313"/>
      <c r="AS23" s="313"/>
      <c r="AT23" s="314"/>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c r="A24" s="75"/>
      <c r="B24" s="289"/>
      <c r="C24" s="289"/>
      <c r="D24" s="290"/>
      <c r="E24" s="330"/>
      <c r="F24" s="331"/>
      <c r="G24" s="331"/>
      <c r="H24" s="331"/>
      <c r="I24" s="332"/>
      <c r="J24" s="356" t="e">
        <f>IF(AND('Mapa final'!#REF!="Media",'Mapa final'!#REF!="Leve"),CONCATENATE("R",'Mapa final'!#REF!),"")</f>
        <v>#REF!</v>
      </c>
      <c r="K24" s="357"/>
      <c r="L24" s="357" t="e">
        <f>IF(AND('Mapa final'!#REF!="Media",'Mapa final'!#REF!="Leve"),CONCATENATE("R",'Mapa final'!#REF!),"")</f>
        <v>#REF!</v>
      </c>
      <c r="M24" s="357"/>
      <c r="N24" s="357" t="e">
        <f>IF(AND('Mapa final'!#REF!="Media",'Mapa final'!#REF!="Leve"),CONCATENATE("R",'Mapa final'!#REF!),"")</f>
        <v>#REF!</v>
      </c>
      <c r="O24" s="358"/>
      <c r="P24" s="356" t="e">
        <f>IF(AND('Mapa final'!#REF!="Media",'Mapa final'!#REF!="Menor"),CONCATENATE("R",'Mapa final'!#REF!),"")</f>
        <v>#REF!</v>
      </c>
      <c r="Q24" s="357"/>
      <c r="R24" s="357" t="e">
        <f>IF(AND('Mapa final'!#REF!="Media",'Mapa final'!#REF!="Menor"),CONCATENATE("R",'Mapa final'!#REF!),"")</f>
        <v>#REF!</v>
      </c>
      <c r="S24" s="357"/>
      <c r="T24" s="357" t="e">
        <f>IF(AND('Mapa final'!#REF!="Media",'Mapa final'!#REF!="Menor"),CONCATENATE("R",'Mapa final'!#REF!),"")</f>
        <v>#REF!</v>
      </c>
      <c r="U24" s="358"/>
      <c r="V24" s="356" t="e">
        <f>IF(AND('Mapa final'!#REF!="Media",'Mapa final'!#REF!="Moderado"),CONCATENATE("R",'Mapa final'!#REF!),"")</f>
        <v>#REF!</v>
      </c>
      <c r="W24" s="357"/>
      <c r="X24" s="357" t="e">
        <f>IF(AND('Mapa final'!#REF!="Media",'Mapa final'!#REF!="Moderado"),CONCATENATE("R",'Mapa final'!#REF!),"")</f>
        <v>#REF!</v>
      </c>
      <c r="Y24" s="357"/>
      <c r="Z24" s="357" t="e">
        <f>IF(AND('Mapa final'!#REF!="Media",'Mapa final'!#REF!="Moderado"),CONCATENATE("R",'Mapa final'!#REF!),"")</f>
        <v>#REF!</v>
      </c>
      <c r="AA24" s="358"/>
      <c r="AB24" s="340" t="e">
        <f>IF(AND('Mapa final'!#REF!="Media",'Mapa final'!#REF!="Mayor"),CONCATENATE("R",'Mapa final'!#REF!),"")</f>
        <v>#REF!</v>
      </c>
      <c r="AC24" s="336"/>
      <c r="AD24" s="336" t="e">
        <f>IF(AND('Mapa final'!#REF!="Media",'Mapa final'!#REF!="Mayor"),CONCATENATE("R",'Mapa final'!#REF!),"")</f>
        <v>#REF!</v>
      </c>
      <c r="AE24" s="336"/>
      <c r="AF24" s="336" t="e">
        <f>IF(AND('Mapa final'!#REF!="Media",'Mapa final'!#REF!="Mayor"),CONCATENATE("R",'Mapa final'!#REF!),"")</f>
        <v>#REF!</v>
      </c>
      <c r="AG24" s="337"/>
      <c r="AH24" s="347" t="e">
        <f>IF(AND('Mapa final'!#REF!="Media",'Mapa final'!#REF!="Catastrófico"),CONCATENATE("R",'Mapa final'!#REF!),"")</f>
        <v>#REF!</v>
      </c>
      <c r="AI24" s="348"/>
      <c r="AJ24" s="348" t="e">
        <f>IF(AND('Mapa final'!#REF!="Media",'Mapa final'!#REF!="Catastrófico"),CONCATENATE("R",'Mapa final'!#REF!),"")</f>
        <v>#REF!</v>
      </c>
      <c r="AK24" s="348"/>
      <c r="AL24" s="348" t="e">
        <f>IF(AND('Mapa final'!#REF!="Media",'Mapa final'!#REF!="Catastrófico"),CONCATENATE("R",'Mapa final'!#REF!),"")</f>
        <v>#REF!</v>
      </c>
      <c r="AM24" s="349"/>
      <c r="AN24" s="75"/>
      <c r="AO24" s="312"/>
      <c r="AP24" s="313"/>
      <c r="AQ24" s="313"/>
      <c r="AR24" s="313"/>
      <c r="AS24" s="313"/>
      <c r="AT24" s="314"/>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c r="A25" s="75"/>
      <c r="B25" s="289"/>
      <c r="C25" s="289"/>
      <c r="D25" s="290"/>
      <c r="E25" s="330"/>
      <c r="F25" s="331"/>
      <c r="G25" s="331"/>
      <c r="H25" s="331"/>
      <c r="I25" s="332"/>
      <c r="J25" s="356"/>
      <c r="K25" s="357"/>
      <c r="L25" s="357"/>
      <c r="M25" s="357"/>
      <c r="N25" s="357"/>
      <c r="O25" s="358"/>
      <c r="P25" s="356"/>
      <c r="Q25" s="357"/>
      <c r="R25" s="357"/>
      <c r="S25" s="357"/>
      <c r="T25" s="357"/>
      <c r="U25" s="358"/>
      <c r="V25" s="356"/>
      <c r="W25" s="357"/>
      <c r="X25" s="357"/>
      <c r="Y25" s="357"/>
      <c r="Z25" s="357"/>
      <c r="AA25" s="358"/>
      <c r="AB25" s="340"/>
      <c r="AC25" s="336"/>
      <c r="AD25" s="336"/>
      <c r="AE25" s="336"/>
      <c r="AF25" s="336"/>
      <c r="AG25" s="337"/>
      <c r="AH25" s="347"/>
      <c r="AI25" s="348"/>
      <c r="AJ25" s="348"/>
      <c r="AK25" s="348"/>
      <c r="AL25" s="348"/>
      <c r="AM25" s="349"/>
      <c r="AN25" s="75"/>
      <c r="AO25" s="312"/>
      <c r="AP25" s="313"/>
      <c r="AQ25" s="313"/>
      <c r="AR25" s="313"/>
      <c r="AS25" s="313"/>
      <c r="AT25" s="31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c r="A26" s="75"/>
      <c r="B26" s="289"/>
      <c r="C26" s="289"/>
      <c r="D26" s="290"/>
      <c r="E26" s="330"/>
      <c r="F26" s="331"/>
      <c r="G26" s="331"/>
      <c r="H26" s="331"/>
      <c r="I26" s="332"/>
      <c r="J26" s="356" t="e">
        <f>IF(AND('Mapa final'!#REF!="Media",'Mapa final'!#REF!="Leve"),CONCATENATE("R",'Mapa final'!#REF!),"")</f>
        <v>#REF!</v>
      </c>
      <c r="K26" s="357"/>
      <c r="L26" s="357" t="e">
        <f>IF(AND('Mapa final'!#REF!="Media",'Mapa final'!#REF!="Leve"),CONCATENATE("R",'Mapa final'!#REF!),"")</f>
        <v>#REF!</v>
      </c>
      <c r="M26" s="357"/>
      <c r="N26" s="357" t="e">
        <f>IF(AND('Mapa final'!#REF!="Media",'Mapa final'!#REF!="Leve"),CONCATENATE("R",'Mapa final'!#REF!),"")</f>
        <v>#REF!</v>
      </c>
      <c r="O26" s="358"/>
      <c r="P26" s="356" t="e">
        <f>IF(AND('Mapa final'!#REF!="Media",'Mapa final'!#REF!="Menor"),CONCATENATE("R",'Mapa final'!#REF!),"")</f>
        <v>#REF!</v>
      </c>
      <c r="Q26" s="357"/>
      <c r="R26" s="357" t="e">
        <f>IF(AND('Mapa final'!#REF!="Media",'Mapa final'!#REF!="Menor"),CONCATENATE("R",'Mapa final'!#REF!),"")</f>
        <v>#REF!</v>
      </c>
      <c r="S26" s="357"/>
      <c r="T26" s="357" t="e">
        <f>IF(AND('Mapa final'!#REF!="Media",'Mapa final'!#REF!="Menor"),CONCATENATE("R",'Mapa final'!#REF!),"")</f>
        <v>#REF!</v>
      </c>
      <c r="U26" s="358"/>
      <c r="V26" s="356" t="e">
        <f>IF(AND('Mapa final'!#REF!="Media",'Mapa final'!#REF!="Moderado"),CONCATENATE("R",'Mapa final'!#REF!),"")</f>
        <v>#REF!</v>
      </c>
      <c r="W26" s="357"/>
      <c r="X26" s="357" t="e">
        <f>IF(AND('Mapa final'!#REF!="Media",'Mapa final'!#REF!="Moderado"),CONCATENATE("R",'Mapa final'!#REF!),"")</f>
        <v>#REF!</v>
      </c>
      <c r="Y26" s="357"/>
      <c r="Z26" s="357" t="e">
        <f>IF(AND('Mapa final'!#REF!="Media",'Mapa final'!#REF!="Moderado"),CONCATENATE("R",'Mapa final'!#REF!),"")</f>
        <v>#REF!</v>
      </c>
      <c r="AA26" s="358"/>
      <c r="AB26" s="340" t="e">
        <f>IF(AND('Mapa final'!#REF!="Media",'Mapa final'!#REF!="Mayor"),CONCATENATE("R",'Mapa final'!#REF!),"")</f>
        <v>#REF!</v>
      </c>
      <c r="AC26" s="336"/>
      <c r="AD26" s="336" t="e">
        <f>IF(AND('Mapa final'!#REF!="Media",'Mapa final'!#REF!="Mayor"),CONCATENATE("R",'Mapa final'!#REF!),"")</f>
        <v>#REF!</v>
      </c>
      <c r="AE26" s="336"/>
      <c r="AF26" s="336" t="e">
        <f>IF(AND('Mapa final'!#REF!="Media",'Mapa final'!#REF!="Mayor"),CONCATENATE("R",'Mapa final'!#REF!),"")</f>
        <v>#REF!</v>
      </c>
      <c r="AG26" s="337"/>
      <c r="AH26" s="347" t="e">
        <f>IF(AND('Mapa final'!#REF!="Media",'Mapa final'!#REF!="Catastrófico"),CONCATENATE("R",'Mapa final'!#REF!),"")</f>
        <v>#REF!</v>
      </c>
      <c r="AI26" s="348"/>
      <c r="AJ26" s="348" t="e">
        <f>IF(AND('Mapa final'!#REF!="Media",'Mapa final'!#REF!="Catastrófico"),CONCATENATE("R",'Mapa final'!#REF!),"")</f>
        <v>#REF!</v>
      </c>
      <c r="AK26" s="348"/>
      <c r="AL26" s="348" t="e">
        <f>IF(AND('Mapa final'!#REF!="Media",'Mapa final'!#REF!="Catastrófico"),CONCATENATE("R",'Mapa final'!#REF!),"")</f>
        <v>#REF!</v>
      </c>
      <c r="AM26" s="349"/>
      <c r="AN26" s="75"/>
      <c r="AO26" s="312"/>
      <c r="AP26" s="313"/>
      <c r="AQ26" s="313"/>
      <c r="AR26" s="313"/>
      <c r="AS26" s="313"/>
      <c r="AT26" s="31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c r="A27" s="75"/>
      <c r="B27" s="289"/>
      <c r="C27" s="289"/>
      <c r="D27" s="290"/>
      <c r="E27" s="330"/>
      <c r="F27" s="331"/>
      <c r="G27" s="331"/>
      <c r="H27" s="331"/>
      <c r="I27" s="332"/>
      <c r="J27" s="356"/>
      <c r="K27" s="357"/>
      <c r="L27" s="357"/>
      <c r="M27" s="357"/>
      <c r="N27" s="357"/>
      <c r="O27" s="358"/>
      <c r="P27" s="356"/>
      <c r="Q27" s="357"/>
      <c r="R27" s="357"/>
      <c r="S27" s="357"/>
      <c r="T27" s="357"/>
      <c r="U27" s="358"/>
      <c r="V27" s="356"/>
      <c r="W27" s="357"/>
      <c r="X27" s="357"/>
      <c r="Y27" s="357"/>
      <c r="Z27" s="357"/>
      <c r="AA27" s="358"/>
      <c r="AB27" s="340"/>
      <c r="AC27" s="336"/>
      <c r="AD27" s="336"/>
      <c r="AE27" s="336"/>
      <c r="AF27" s="336"/>
      <c r="AG27" s="337"/>
      <c r="AH27" s="347"/>
      <c r="AI27" s="348"/>
      <c r="AJ27" s="348"/>
      <c r="AK27" s="348"/>
      <c r="AL27" s="348"/>
      <c r="AM27" s="349"/>
      <c r="AN27" s="75"/>
      <c r="AO27" s="312"/>
      <c r="AP27" s="313"/>
      <c r="AQ27" s="313"/>
      <c r="AR27" s="313"/>
      <c r="AS27" s="313"/>
      <c r="AT27" s="31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c r="A28" s="75"/>
      <c r="B28" s="289"/>
      <c r="C28" s="289"/>
      <c r="D28" s="290"/>
      <c r="E28" s="330"/>
      <c r="F28" s="331"/>
      <c r="G28" s="331"/>
      <c r="H28" s="331"/>
      <c r="I28" s="332"/>
      <c r="J28" s="356" t="e">
        <f>IF(AND('Mapa final'!#REF!="Media",'Mapa final'!#REF!="Leve"),CONCATENATE("R",'Mapa final'!#REF!),"")</f>
        <v>#REF!</v>
      </c>
      <c r="K28" s="357"/>
      <c r="L28" s="357" t="str">
        <f>IF(AND('Mapa final'!$L$17="Media",'Mapa final'!$P$17="Leve"),CONCATENATE("R",'Mapa final'!$A$17),"")</f>
        <v/>
      </c>
      <c r="M28" s="357"/>
      <c r="N28" s="357" t="str">
        <f>IF(AND('Mapa final'!$L$19="Media",'Mapa final'!$P$19="Leve"),CONCATENATE("R",'Mapa final'!$A$19),"")</f>
        <v/>
      </c>
      <c r="O28" s="358"/>
      <c r="P28" s="356" t="e">
        <f>IF(AND('Mapa final'!#REF!="Media",'Mapa final'!#REF!="Menor"),CONCATENATE("R",'Mapa final'!#REF!),"")</f>
        <v>#REF!</v>
      </c>
      <c r="Q28" s="357"/>
      <c r="R28" s="357" t="str">
        <f>IF(AND('Mapa final'!$L$17="Media",'Mapa final'!$P$17="Menor"),CONCATENATE("R",'Mapa final'!$A$17),"")</f>
        <v/>
      </c>
      <c r="S28" s="357"/>
      <c r="T28" s="357" t="str">
        <f>IF(AND('Mapa final'!$L$19="Media",'Mapa final'!$P$19="Menor"),CONCATENATE("R",'Mapa final'!$A$19),"")</f>
        <v/>
      </c>
      <c r="U28" s="358"/>
      <c r="V28" s="356" t="e">
        <f>IF(AND('Mapa final'!#REF!="Media",'Mapa final'!#REF!="Moderado"),CONCATENATE("R",'Mapa final'!#REF!),"")</f>
        <v>#REF!</v>
      </c>
      <c r="W28" s="357"/>
      <c r="X28" s="357" t="str">
        <f>IF(AND('Mapa final'!$L$17="Media",'Mapa final'!$P$17="Moderado"),CONCATENATE("R",'Mapa final'!$A$17),"")</f>
        <v/>
      </c>
      <c r="Y28" s="357"/>
      <c r="Z28" s="357" t="str">
        <f>IF(AND('Mapa final'!$L$19="Media",'Mapa final'!$P$19="Moderado"),CONCATENATE("R",'Mapa final'!$A$19),"")</f>
        <v/>
      </c>
      <c r="AA28" s="358"/>
      <c r="AB28" s="340" t="e">
        <f>IF(AND('Mapa final'!#REF!="Media",'Mapa final'!#REF!="Mayor"),CONCATENATE("R",'Mapa final'!#REF!),"")</f>
        <v>#REF!</v>
      </c>
      <c r="AC28" s="336"/>
      <c r="AD28" s="336" t="str">
        <f>IF(AND('Mapa final'!$L$17="Media",'Mapa final'!$P$17="Mayor"),CONCATENATE("R",'Mapa final'!$A$17),"")</f>
        <v/>
      </c>
      <c r="AE28" s="336"/>
      <c r="AF28" s="336" t="str">
        <f>IF(AND('Mapa final'!$L$19="Media",'Mapa final'!$P$19="Mayor"),CONCATENATE("R",'Mapa final'!$A$19),"")</f>
        <v/>
      </c>
      <c r="AG28" s="337"/>
      <c r="AH28" s="347" t="e">
        <f>IF(AND('Mapa final'!#REF!="Media",'Mapa final'!#REF!="Catastrófico"),CONCATENATE("R",'Mapa final'!#REF!),"")</f>
        <v>#REF!</v>
      </c>
      <c r="AI28" s="348"/>
      <c r="AJ28" s="348" t="str">
        <f>IF(AND('Mapa final'!$L$17="Media",'Mapa final'!$P$17="Catastrófico"),CONCATENATE("R",'Mapa final'!$A$17),"")</f>
        <v/>
      </c>
      <c r="AK28" s="348"/>
      <c r="AL28" s="348" t="str">
        <f>IF(AND('Mapa final'!$L$19="Media",'Mapa final'!$P$19="Catastrófico"),CONCATENATE("R",'Mapa final'!$A$19),"")</f>
        <v/>
      </c>
      <c r="AM28" s="349"/>
      <c r="AN28" s="75"/>
      <c r="AO28" s="312"/>
      <c r="AP28" s="313"/>
      <c r="AQ28" s="313"/>
      <c r="AR28" s="313"/>
      <c r="AS28" s="313"/>
      <c r="AT28" s="31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c r="A29" s="75"/>
      <c r="B29" s="289"/>
      <c r="C29" s="289"/>
      <c r="D29" s="290"/>
      <c r="E29" s="333"/>
      <c r="F29" s="334"/>
      <c r="G29" s="334"/>
      <c r="H29" s="334"/>
      <c r="I29" s="335"/>
      <c r="J29" s="356"/>
      <c r="K29" s="357"/>
      <c r="L29" s="357"/>
      <c r="M29" s="357"/>
      <c r="N29" s="357"/>
      <c r="O29" s="358"/>
      <c r="P29" s="359"/>
      <c r="Q29" s="360"/>
      <c r="R29" s="360"/>
      <c r="S29" s="360"/>
      <c r="T29" s="360"/>
      <c r="U29" s="361"/>
      <c r="V29" s="359"/>
      <c r="W29" s="360"/>
      <c r="X29" s="360"/>
      <c r="Y29" s="360"/>
      <c r="Z29" s="360"/>
      <c r="AA29" s="361"/>
      <c r="AB29" s="344"/>
      <c r="AC29" s="345"/>
      <c r="AD29" s="345"/>
      <c r="AE29" s="345"/>
      <c r="AF29" s="345"/>
      <c r="AG29" s="346"/>
      <c r="AH29" s="350"/>
      <c r="AI29" s="351"/>
      <c r="AJ29" s="351"/>
      <c r="AK29" s="351"/>
      <c r="AL29" s="351"/>
      <c r="AM29" s="352"/>
      <c r="AN29" s="75"/>
      <c r="AO29" s="315"/>
      <c r="AP29" s="316"/>
      <c r="AQ29" s="316"/>
      <c r="AR29" s="316"/>
      <c r="AS29" s="316"/>
      <c r="AT29" s="31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c r="A30" s="75"/>
      <c r="B30" s="289"/>
      <c r="C30" s="289"/>
      <c r="D30" s="290"/>
      <c r="E30" s="327" t="s">
        <v>113</v>
      </c>
      <c r="F30" s="328"/>
      <c r="G30" s="328"/>
      <c r="H30" s="328"/>
      <c r="I30" s="328"/>
      <c r="J30" s="371" t="e">
        <f>IF(AND('Mapa final'!#REF!="Baja",'Mapa final'!#REF!="Leve"),CONCATENATE("R",'Mapa final'!#REF!),"")</f>
        <v>#REF!</v>
      </c>
      <c r="K30" s="372"/>
      <c r="L30" s="372" t="str">
        <f>IF(AND('Mapa final'!$L$11="Baja",'Mapa final'!$P$11="Leve"),CONCATENATE("R",'Mapa final'!$A$11),"")</f>
        <v/>
      </c>
      <c r="M30" s="372"/>
      <c r="N30" s="372" t="e">
        <f>IF(AND('Mapa final'!#REF!="Baja",'Mapa final'!#REF!="Leve"),CONCATENATE("R",'Mapa final'!#REF!),"")</f>
        <v>#REF!</v>
      </c>
      <c r="O30" s="373"/>
      <c r="P30" s="363" t="e">
        <f>IF(AND('Mapa final'!#REF!="Baja",'Mapa final'!#REF!="Menor"),CONCATENATE("R",'Mapa final'!#REF!),"")</f>
        <v>#REF!</v>
      </c>
      <c r="Q30" s="363"/>
      <c r="R30" s="363" t="str">
        <f>IF(AND('Mapa final'!$L$11="Baja",'Mapa final'!$P$11="Menor"),CONCATENATE("R",'Mapa final'!$A$11),"")</f>
        <v/>
      </c>
      <c r="S30" s="363"/>
      <c r="T30" s="363" t="e">
        <f>IF(AND('Mapa final'!#REF!="Baja",'Mapa final'!#REF!="Menor"),CONCATENATE("R",'Mapa final'!#REF!),"")</f>
        <v>#REF!</v>
      </c>
      <c r="U30" s="364"/>
      <c r="V30" s="362" t="e">
        <f>IF(AND('Mapa final'!#REF!="Baja",'Mapa final'!#REF!="Moderado"),CONCATENATE("R",'Mapa final'!#REF!),"")</f>
        <v>#REF!</v>
      </c>
      <c r="W30" s="363"/>
      <c r="X30" s="363" t="str">
        <f>IF(AND('Mapa final'!$L$11="Baja",'Mapa final'!$P$11="Moderado"),CONCATENATE("R",'Mapa final'!$A$11),"")</f>
        <v>R1</v>
      </c>
      <c r="Y30" s="363"/>
      <c r="Z30" s="363" t="e">
        <f>IF(AND('Mapa final'!#REF!="Baja",'Mapa final'!#REF!="Moderado"),CONCATENATE("R",'Mapa final'!#REF!),"")</f>
        <v>#REF!</v>
      </c>
      <c r="AA30" s="364"/>
      <c r="AB30" s="338" t="e">
        <f>IF(AND('Mapa final'!#REF!="Baja",'Mapa final'!#REF!="Mayor"),CONCATENATE("R",'Mapa final'!#REF!),"")</f>
        <v>#REF!</v>
      </c>
      <c r="AC30" s="339"/>
      <c r="AD30" s="339" t="str">
        <f>IF(AND('Mapa final'!$L$11="Baja",'Mapa final'!$P$11="Mayor"),CONCATENATE("R",'Mapa final'!$A$11),"")</f>
        <v/>
      </c>
      <c r="AE30" s="339"/>
      <c r="AF30" s="339" t="e">
        <f>IF(AND('Mapa final'!#REF!="Baja",'Mapa final'!#REF!="Mayor"),CONCATENATE("R",'Mapa final'!#REF!),"")</f>
        <v>#REF!</v>
      </c>
      <c r="AG30" s="341"/>
      <c r="AH30" s="353" t="e">
        <f>IF(AND('Mapa final'!#REF!="Baja",'Mapa final'!#REF!="Catastrófico"),CONCATENATE("R",'Mapa final'!#REF!),"")</f>
        <v>#REF!</v>
      </c>
      <c r="AI30" s="354"/>
      <c r="AJ30" s="354" t="str">
        <f>IF(AND('Mapa final'!$L$11="Baja",'Mapa final'!$P$11="Catastrófico"),CONCATENATE("R",'Mapa final'!$A$11),"")</f>
        <v/>
      </c>
      <c r="AK30" s="354"/>
      <c r="AL30" s="354" t="e">
        <f>IF(AND('Mapa final'!#REF!="Baja",'Mapa final'!#REF!="Catastrófico"),CONCATENATE("R",'Mapa final'!#REF!),"")</f>
        <v>#REF!</v>
      </c>
      <c r="AM30" s="355"/>
      <c r="AN30" s="75"/>
      <c r="AO30" s="318" t="s">
        <v>81</v>
      </c>
      <c r="AP30" s="319"/>
      <c r="AQ30" s="319"/>
      <c r="AR30" s="319"/>
      <c r="AS30" s="319"/>
      <c r="AT30" s="32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c r="A31" s="75"/>
      <c r="B31" s="289"/>
      <c r="C31" s="289"/>
      <c r="D31" s="290"/>
      <c r="E31" s="330"/>
      <c r="F31" s="331"/>
      <c r="G31" s="331"/>
      <c r="H31" s="331"/>
      <c r="I31" s="331"/>
      <c r="J31" s="367"/>
      <c r="K31" s="365"/>
      <c r="L31" s="365"/>
      <c r="M31" s="365"/>
      <c r="N31" s="365"/>
      <c r="O31" s="366"/>
      <c r="P31" s="357"/>
      <c r="Q31" s="357"/>
      <c r="R31" s="357"/>
      <c r="S31" s="357"/>
      <c r="T31" s="357"/>
      <c r="U31" s="358"/>
      <c r="V31" s="356"/>
      <c r="W31" s="357"/>
      <c r="X31" s="357"/>
      <c r="Y31" s="357"/>
      <c r="Z31" s="357"/>
      <c r="AA31" s="358"/>
      <c r="AB31" s="340"/>
      <c r="AC31" s="336"/>
      <c r="AD31" s="336"/>
      <c r="AE31" s="336"/>
      <c r="AF31" s="336"/>
      <c r="AG31" s="337"/>
      <c r="AH31" s="347"/>
      <c r="AI31" s="348"/>
      <c r="AJ31" s="348"/>
      <c r="AK31" s="348"/>
      <c r="AL31" s="348"/>
      <c r="AM31" s="349"/>
      <c r="AN31" s="75"/>
      <c r="AO31" s="321"/>
      <c r="AP31" s="322"/>
      <c r="AQ31" s="322"/>
      <c r="AR31" s="322"/>
      <c r="AS31" s="322"/>
      <c r="AT31" s="323"/>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c r="A32" s="75"/>
      <c r="B32" s="289"/>
      <c r="C32" s="289"/>
      <c r="D32" s="290"/>
      <c r="E32" s="330"/>
      <c r="F32" s="331"/>
      <c r="G32" s="331"/>
      <c r="H32" s="331"/>
      <c r="I32" s="331"/>
      <c r="J32" s="367" t="e">
        <f>IF(AND('Mapa final'!#REF!="Baja",'Mapa final'!#REF!="Leve"),CONCATENATE("R",'Mapa final'!#REF!),"")</f>
        <v>#REF!</v>
      </c>
      <c r="K32" s="365"/>
      <c r="L32" s="365" t="e">
        <f>IF(AND('Mapa final'!#REF!="Baja",'Mapa final'!#REF!="Leve"),CONCATENATE("R",'Mapa final'!#REF!),"")</f>
        <v>#REF!</v>
      </c>
      <c r="M32" s="365"/>
      <c r="N32" s="365" t="e">
        <f>IF(AND('Mapa final'!#REF!="Baja",'Mapa final'!#REF!="Leve"),CONCATENATE("R",'Mapa final'!#REF!),"")</f>
        <v>#REF!</v>
      </c>
      <c r="O32" s="366"/>
      <c r="P32" s="357" t="e">
        <f>IF(AND('Mapa final'!#REF!="Baja",'Mapa final'!#REF!="Menor"),CONCATENATE("R",'Mapa final'!#REF!),"")</f>
        <v>#REF!</v>
      </c>
      <c r="Q32" s="357"/>
      <c r="R32" s="357" t="e">
        <f>IF(AND('Mapa final'!#REF!="Baja",'Mapa final'!#REF!="Menor"),CONCATENATE("R",'Mapa final'!#REF!),"")</f>
        <v>#REF!</v>
      </c>
      <c r="S32" s="357"/>
      <c r="T32" s="357" t="e">
        <f>IF(AND('Mapa final'!#REF!="Baja",'Mapa final'!#REF!="Menor"),CONCATENATE("R",'Mapa final'!#REF!),"")</f>
        <v>#REF!</v>
      </c>
      <c r="U32" s="358"/>
      <c r="V32" s="356" t="e">
        <f>IF(AND('Mapa final'!#REF!="Baja",'Mapa final'!#REF!="Moderado"),CONCATENATE("R",'Mapa final'!#REF!),"")</f>
        <v>#REF!</v>
      </c>
      <c r="W32" s="357"/>
      <c r="X32" s="357" t="e">
        <f>IF(AND('Mapa final'!#REF!="Baja",'Mapa final'!#REF!="Moderado"),CONCATENATE("R",'Mapa final'!#REF!),"")</f>
        <v>#REF!</v>
      </c>
      <c r="Y32" s="357"/>
      <c r="Z32" s="357" t="e">
        <f>IF(AND('Mapa final'!#REF!="Baja",'Mapa final'!#REF!="Moderado"),CONCATENATE("R",'Mapa final'!#REF!),"")</f>
        <v>#REF!</v>
      </c>
      <c r="AA32" s="358"/>
      <c r="AB32" s="340" t="e">
        <f>IF(AND('Mapa final'!#REF!="Baja",'Mapa final'!#REF!="Mayor"),CONCATENATE("R",'Mapa final'!#REF!),"")</f>
        <v>#REF!</v>
      </c>
      <c r="AC32" s="336"/>
      <c r="AD32" s="336" t="e">
        <f>IF(AND('Mapa final'!#REF!="Baja",'Mapa final'!#REF!="Mayor"),CONCATENATE("R",'Mapa final'!#REF!),"")</f>
        <v>#REF!</v>
      </c>
      <c r="AE32" s="336"/>
      <c r="AF32" s="336" t="e">
        <f>IF(AND('Mapa final'!#REF!="Baja",'Mapa final'!#REF!="Mayor"),CONCATENATE("R",'Mapa final'!#REF!),"")</f>
        <v>#REF!</v>
      </c>
      <c r="AG32" s="337"/>
      <c r="AH32" s="347" t="e">
        <f>IF(AND('Mapa final'!#REF!="Baja",'Mapa final'!#REF!="Catastrófico"),CONCATENATE("R",'Mapa final'!#REF!),"")</f>
        <v>#REF!</v>
      </c>
      <c r="AI32" s="348"/>
      <c r="AJ32" s="348" t="e">
        <f>IF(AND('Mapa final'!#REF!="Baja",'Mapa final'!#REF!="Catastrófico"),CONCATENATE("R",'Mapa final'!#REF!),"")</f>
        <v>#REF!</v>
      </c>
      <c r="AK32" s="348"/>
      <c r="AL32" s="348" t="e">
        <f>IF(AND('Mapa final'!#REF!="Baja",'Mapa final'!#REF!="Catastrófico"),CONCATENATE("R",'Mapa final'!#REF!),"")</f>
        <v>#REF!</v>
      </c>
      <c r="AM32" s="349"/>
      <c r="AN32" s="75"/>
      <c r="AO32" s="321"/>
      <c r="AP32" s="322"/>
      <c r="AQ32" s="322"/>
      <c r="AR32" s="322"/>
      <c r="AS32" s="322"/>
      <c r="AT32" s="323"/>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c r="A33" s="75"/>
      <c r="B33" s="289"/>
      <c r="C33" s="289"/>
      <c r="D33" s="290"/>
      <c r="E33" s="330"/>
      <c r="F33" s="331"/>
      <c r="G33" s="331"/>
      <c r="H33" s="331"/>
      <c r="I33" s="331"/>
      <c r="J33" s="367"/>
      <c r="K33" s="365"/>
      <c r="L33" s="365"/>
      <c r="M33" s="365"/>
      <c r="N33" s="365"/>
      <c r="O33" s="366"/>
      <c r="P33" s="357"/>
      <c r="Q33" s="357"/>
      <c r="R33" s="357"/>
      <c r="S33" s="357"/>
      <c r="T33" s="357"/>
      <c r="U33" s="358"/>
      <c r="V33" s="356"/>
      <c r="W33" s="357"/>
      <c r="X33" s="357"/>
      <c r="Y33" s="357"/>
      <c r="Z33" s="357"/>
      <c r="AA33" s="358"/>
      <c r="AB33" s="340"/>
      <c r="AC33" s="336"/>
      <c r="AD33" s="336"/>
      <c r="AE33" s="336"/>
      <c r="AF33" s="336"/>
      <c r="AG33" s="337"/>
      <c r="AH33" s="347"/>
      <c r="AI33" s="348"/>
      <c r="AJ33" s="348"/>
      <c r="AK33" s="348"/>
      <c r="AL33" s="348"/>
      <c r="AM33" s="349"/>
      <c r="AN33" s="75"/>
      <c r="AO33" s="321"/>
      <c r="AP33" s="322"/>
      <c r="AQ33" s="322"/>
      <c r="AR33" s="322"/>
      <c r="AS33" s="322"/>
      <c r="AT33" s="323"/>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c r="A34" s="75"/>
      <c r="B34" s="289"/>
      <c r="C34" s="289"/>
      <c r="D34" s="290"/>
      <c r="E34" s="330"/>
      <c r="F34" s="331"/>
      <c r="G34" s="331"/>
      <c r="H34" s="331"/>
      <c r="I34" s="331"/>
      <c r="J34" s="367" t="e">
        <f>IF(AND('Mapa final'!#REF!="Baja",'Mapa final'!#REF!="Leve"),CONCATENATE("R",'Mapa final'!#REF!),"")</f>
        <v>#REF!</v>
      </c>
      <c r="K34" s="365"/>
      <c r="L34" s="365" t="e">
        <f>IF(AND('Mapa final'!#REF!="Baja",'Mapa final'!#REF!="Leve"),CONCATENATE("R",'Mapa final'!#REF!),"")</f>
        <v>#REF!</v>
      </c>
      <c r="M34" s="365"/>
      <c r="N34" s="365" t="e">
        <f>IF(AND('Mapa final'!#REF!="Baja",'Mapa final'!#REF!="Leve"),CONCATENATE("R",'Mapa final'!#REF!),"")</f>
        <v>#REF!</v>
      </c>
      <c r="O34" s="366"/>
      <c r="P34" s="357" t="e">
        <f>IF(AND('Mapa final'!#REF!="Baja",'Mapa final'!#REF!="Menor"),CONCATENATE("R",'Mapa final'!#REF!),"")</f>
        <v>#REF!</v>
      </c>
      <c r="Q34" s="357"/>
      <c r="R34" s="357" t="e">
        <f>IF(AND('Mapa final'!#REF!="Baja",'Mapa final'!#REF!="Menor"),CONCATENATE("R",'Mapa final'!#REF!),"")</f>
        <v>#REF!</v>
      </c>
      <c r="S34" s="357"/>
      <c r="T34" s="357" t="e">
        <f>IF(AND('Mapa final'!#REF!="Baja",'Mapa final'!#REF!="Menor"),CONCATENATE("R",'Mapa final'!#REF!),"")</f>
        <v>#REF!</v>
      </c>
      <c r="U34" s="358"/>
      <c r="V34" s="356" t="e">
        <f>IF(AND('Mapa final'!#REF!="Baja",'Mapa final'!#REF!="Moderado"),CONCATENATE("R",'Mapa final'!#REF!),"")</f>
        <v>#REF!</v>
      </c>
      <c r="W34" s="357"/>
      <c r="X34" s="357" t="e">
        <f>IF(AND('Mapa final'!#REF!="Baja",'Mapa final'!#REF!="Moderado"),CONCATENATE("R",'Mapa final'!#REF!),"")</f>
        <v>#REF!</v>
      </c>
      <c r="Y34" s="357"/>
      <c r="Z34" s="357" t="e">
        <f>IF(AND('Mapa final'!#REF!="Baja",'Mapa final'!#REF!="Moderado"),CONCATENATE("R",'Mapa final'!#REF!),"")</f>
        <v>#REF!</v>
      </c>
      <c r="AA34" s="358"/>
      <c r="AB34" s="340" t="e">
        <f>IF(AND('Mapa final'!#REF!="Baja",'Mapa final'!#REF!="Mayor"),CONCATENATE("R",'Mapa final'!#REF!),"")</f>
        <v>#REF!</v>
      </c>
      <c r="AC34" s="336"/>
      <c r="AD34" s="336" t="e">
        <f>IF(AND('Mapa final'!#REF!="Baja",'Mapa final'!#REF!="Mayor"),CONCATENATE("R",'Mapa final'!#REF!),"")</f>
        <v>#REF!</v>
      </c>
      <c r="AE34" s="336"/>
      <c r="AF34" s="336" t="e">
        <f>IF(AND('Mapa final'!#REF!="Baja",'Mapa final'!#REF!="Mayor"),CONCATENATE("R",'Mapa final'!#REF!),"")</f>
        <v>#REF!</v>
      </c>
      <c r="AG34" s="337"/>
      <c r="AH34" s="347" t="e">
        <f>IF(AND('Mapa final'!#REF!="Baja",'Mapa final'!#REF!="Catastrófico"),CONCATENATE("R",'Mapa final'!#REF!),"")</f>
        <v>#REF!</v>
      </c>
      <c r="AI34" s="348"/>
      <c r="AJ34" s="348" t="e">
        <f>IF(AND('Mapa final'!#REF!="Baja",'Mapa final'!#REF!="Catastrófico"),CONCATENATE("R",'Mapa final'!#REF!),"")</f>
        <v>#REF!</v>
      </c>
      <c r="AK34" s="348"/>
      <c r="AL34" s="348" t="e">
        <f>IF(AND('Mapa final'!#REF!="Baja",'Mapa final'!#REF!="Catastrófico"),CONCATENATE("R",'Mapa final'!#REF!),"")</f>
        <v>#REF!</v>
      </c>
      <c r="AM34" s="349"/>
      <c r="AN34" s="75"/>
      <c r="AO34" s="321"/>
      <c r="AP34" s="322"/>
      <c r="AQ34" s="322"/>
      <c r="AR34" s="322"/>
      <c r="AS34" s="322"/>
      <c r="AT34" s="323"/>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c r="A35" s="75"/>
      <c r="B35" s="289"/>
      <c r="C35" s="289"/>
      <c r="D35" s="290"/>
      <c r="E35" s="330"/>
      <c r="F35" s="331"/>
      <c r="G35" s="331"/>
      <c r="H35" s="331"/>
      <c r="I35" s="331"/>
      <c r="J35" s="367"/>
      <c r="K35" s="365"/>
      <c r="L35" s="365"/>
      <c r="M35" s="365"/>
      <c r="N35" s="365"/>
      <c r="O35" s="366"/>
      <c r="P35" s="357"/>
      <c r="Q35" s="357"/>
      <c r="R35" s="357"/>
      <c r="S35" s="357"/>
      <c r="T35" s="357"/>
      <c r="U35" s="358"/>
      <c r="V35" s="356"/>
      <c r="W35" s="357"/>
      <c r="X35" s="357"/>
      <c r="Y35" s="357"/>
      <c r="Z35" s="357"/>
      <c r="AA35" s="358"/>
      <c r="AB35" s="340"/>
      <c r="AC35" s="336"/>
      <c r="AD35" s="336"/>
      <c r="AE35" s="336"/>
      <c r="AF35" s="336"/>
      <c r="AG35" s="337"/>
      <c r="AH35" s="347"/>
      <c r="AI35" s="348"/>
      <c r="AJ35" s="348"/>
      <c r="AK35" s="348"/>
      <c r="AL35" s="348"/>
      <c r="AM35" s="349"/>
      <c r="AN35" s="75"/>
      <c r="AO35" s="321"/>
      <c r="AP35" s="322"/>
      <c r="AQ35" s="322"/>
      <c r="AR35" s="322"/>
      <c r="AS35" s="322"/>
      <c r="AT35" s="32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c r="A36" s="75"/>
      <c r="B36" s="289"/>
      <c r="C36" s="289"/>
      <c r="D36" s="290"/>
      <c r="E36" s="330"/>
      <c r="F36" s="331"/>
      <c r="G36" s="331"/>
      <c r="H36" s="331"/>
      <c r="I36" s="331"/>
      <c r="J36" s="367" t="e">
        <f>IF(AND('Mapa final'!#REF!="Baja",'Mapa final'!#REF!="Leve"),CONCATENATE("R",'Mapa final'!#REF!),"")</f>
        <v>#REF!</v>
      </c>
      <c r="K36" s="365"/>
      <c r="L36" s="365" t="str">
        <f>IF(AND('Mapa final'!$L$17="Baja",'Mapa final'!$P$17="Leve"),CONCATENATE("R",'Mapa final'!$A$17),"")</f>
        <v/>
      </c>
      <c r="M36" s="365"/>
      <c r="N36" s="365" t="str">
        <f>IF(AND('Mapa final'!$L$19="Baja",'Mapa final'!$P$19="Leve"),CONCATENATE("R",'Mapa final'!$A$19),"")</f>
        <v/>
      </c>
      <c r="O36" s="366"/>
      <c r="P36" s="357" t="e">
        <f>IF(AND('Mapa final'!#REF!="Baja",'Mapa final'!#REF!="Menor"),CONCATENATE("R",'Mapa final'!#REF!),"")</f>
        <v>#REF!</v>
      </c>
      <c r="Q36" s="357"/>
      <c r="R36" s="357" t="str">
        <f>IF(AND('Mapa final'!$L$17="Baja",'Mapa final'!$P$17="Menor"),CONCATENATE("R",'Mapa final'!$A$17),"")</f>
        <v/>
      </c>
      <c r="S36" s="357"/>
      <c r="T36" s="357" t="str">
        <f>IF(AND('Mapa final'!$L$19="Baja",'Mapa final'!$P$19="Menor"),CONCATENATE("R",'Mapa final'!$A$19),"")</f>
        <v/>
      </c>
      <c r="U36" s="358"/>
      <c r="V36" s="356" t="e">
        <f>IF(AND('Mapa final'!#REF!="Baja",'Mapa final'!#REF!="Moderado"),CONCATENATE("R",'Mapa final'!#REF!),"")</f>
        <v>#REF!</v>
      </c>
      <c r="W36" s="357"/>
      <c r="X36" s="357" t="str">
        <f>IF(AND('Mapa final'!$L$17="Baja",'Mapa final'!$P$17="Moderado"),CONCATENATE("R",'Mapa final'!$A$17),"")</f>
        <v/>
      </c>
      <c r="Y36" s="357"/>
      <c r="Z36" s="357" t="str">
        <f>IF(AND('Mapa final'!$L$19="Baja",'Mapa final'!$P$19="Moderado"),CONCATENATE("R",'Mapa final'!$A$19),"")</f>
        <v/>
      </c>
      <c r="AA36" s="358"/>
      <c r="AB36" s="340" t="e">
        <f>IF(AND('Mapa final'!#REF!="Baja",'Mapa final'!#REF!="Mayor"),CONCATENATE("R",'Mapa final'!#REF!),"")</f>
        <v>#REF!</v>
      </c>
      <c r="AC36" s="336"/>
      <c r="AD36" s="336" t="str">
        <f>IF(AND('Mapa final'!$L$17="Baja",'Mapa final'!$P$17="Mayor"),CONCATENATE("R",'Mapa final'!$A$17),"")</f>
        <v/>
      </c>
      <c r="AE36" s="336"/>
      <c r="AF36" s="336" t="str">
        <f>IF(AND('Mapa final'!$L$19="Baja",'Mapa final'!$P$19="Mayor"),CONCATENATE("R",'Mapa final'!$A$19),"")</f>
        <v/>
      </c>
      <c r="AG36" s="337"/>
      <c r="AH36" s="347" t="e">
        <f>IF(AND('Mapa final'!#REF!="Baja",'Mapa final'!#REF!="Catastrófico"),CONCATENATE("R",'Mapa final'!#REF!),"")</f>
        <v>#REF!</v>
      </c>
      <c r="AI36" s="348"/>
      <c r="AJ36" s="348" t="str">
        <f>IF(AND('Mapa final'!$L$17="Baja",'Mapa final'!$P$17="Catastrófico"),CONCATENATE("R",'Mapa final'!$A$17),"")</f>
        <v/>
      </c>
      <c r="AK36" s="348"/>
      <c r="AL36" s="348" t="str">
        <f>IF(AND('Mapa final'!$L$19="Baja",'Mapa final'!$P$19="Catastrófico"),CONCATENATE("R",'Mapa final'!$A$19),"")</f>
        <v/>
      </c>
      <c r="AM36" s="349"/>
      <c r="AN36" s="75"/>
      <c r="AO36" s="321"/>
      <c r="AP36" s="322"/>
      <c r="AQ36" s="322"/>
      <c r="AR36" s="322"/>
      <c r="AS36" s="322"/>
      <c r="AT36" s="323"/>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c r="A37" s="75"/>
      <c r="B37" s="289"/>
      <c r="C37" s="289"/>
      <c r="D37" s="290"/>
      <c r="E37" s="333"/>
      <c r="F37" s="334"/>
      <c r="G37" s="334"/>
      <c r="H37" s="334"/>
      <c r="I37" s="334"/>
      <c r="J37" s="368"/>
      <c r="K37" s="369"/>
      <c r="L37" s="369"/>
      <c r="M37" s="369"/>
      <c r="N37" s="369"/>
      <c r="O37" s="370"/>
      <c r="P37" s="360"/>
      <c r="Q37" s="360"/>
      <c r="R37" s="360"/>
      <c r="S37" s="360"/>
      <c r="T37" s="360"/>
      <c r="U37" s="361"/>
      <c r="V37" s="359"/>
      <c r="W37" s="360"/>
      <c r="X37" s="360"/>
      <c r="Y37" s="360"/>
      <c r="Z37" s="360"/>
      <c r="AA37" s="361"/>
      <c r="AB37" s="344"/>
      <c r="AC37" s="345"/>
      <c r="AD37" s="345"/>
      <c r="AE37" s="345"/>
      <c r="AF37" s="345"/>
      <c r="AG37" s="346"/>
      <c r="AH37" s="350"/>
      <c r="AI37" s="351"/>
      <c r="AJ37" s="351"/>
      <c r="AK37" s="351"/>
      <c r="AL37" s="351"/>
      <c r="AM37" s="352"/>
      <c r="AN37" s="75"/>
      <c r="AO37" s="324"/>
      <c r="AP37" s="325"/>
      <c r="AQ37" s="325"/>
      <c r="AR37" s="325"/>
      <c r="AS37" s="325"/>
      <c r="AT37" s="326"/>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c r="A38" s="75"/>
      <c r="B38" s="289"/>
      <c r="C38" s="289"/>
      <c r="D38" s="290"/>
      <c r="E38" s="327" t="s">
        <v>112</v>
      </c>
      <c r="F38" s="328"/>
      <c r="G38" s="328"/>
      <c r="H38" s="328"/>
      <c r="I38" s="329"/>
      <c r="J38" s="371" t="e">
        <f>IF(AND('Mapa final'!#REF!="Muy Baja",'Mapa final'!#REF!="Leve"),CONCATENATE("R",'Mapa final'!#REF!),"")</f>
        <v>#REF!</v>
      </c>
      <c r="K38" s="372"/>
      <c r="L38" s="372" t="str">
        <f>IF(AND('Mapa final'!$L$11="Muy Baja",'Mapa final'!$P$11="Leve"),CONCATENATE("R",'Mapa final'!$A$11),"")</f>
        <v/>
      </c>
      <c r="M38" s="372"/>
      <c r="N38" s="372" t="e">
        <f>IF(AND('Mapa final'!#REF!="Muy Baja",'Mapa final'!#REF!="Leve"),CONCATENATE("R",'Mapa final'!#REF!),"")</f>
        <v>#REF!</v>
      </c>
      <c r="O38" s="373"/>
      <c r="P38" s="371" t="e">
        <f>IF(AND('Mapa final'!#REF!="Muy Baja",'Mapa final'!#REF!="Menor"),CONCATENATE("R",'Mapa final'!#REF!),"")</f>
        <v>#REF!</v>
      </c>
      <c r="Q38" s="372"/>
      <c r="R38" s="372" t="str">
        <f>IF(AND('Mapa final'!$L$11="Muy Baja",'Mapa final'!$P$11="Menor"),CONCATENATE("R",'Mapa final'!$A$11),"")</f>
        <v/>
      </c>
      <c r="S38" s="372"/>
      <c r="T38" s="372" t="e">
        <f>IF(AND('Mapa final'!#REF!="Muy Baja",'Mapa final'!#REF!="Menor"),CONCATENATE("R",'Mapa final'!#REF!),"")</f>
        <v>#REF!</v>
      </c>
      <c r="U38" s="373"/>
      <c r="V38" s="362" t="e">
        <f>IF(AND('Mapa final'!#REF!="Muy Baja",'Mapa final'!#REF!="Moderado"),CONCATENATE("R",'Mapa final'!#REF!),"")</f>
        <v>#REF!</v>
      </c>
      <c r="W38" s="363"/>
      <c r="X38" s="363" t="str">
        <f>IF(AND('Mapa final'!$L$11="Muy Baja",'Mapa final'!$P$11="Moderado"),CONCATENATE("R",'Mapa final'!$A$11),"")</f>
        <v/>
      </c>
      <c r="Y38" s="363"/>
      <c r="Z38" s="363" t="e">
        <f>IF(AND('Mapa final'!#REF!="Muy Baja",'Mapa final'!#REF!="Moderado"),CONCATENATE("R",'Mapa final'!#REF!),"")</f>
        <v>#REF!</v>
      </c>
      <c r="AA38" s="364"/>
      <c r="AB38" s="338" t="e">
        <f>IF(AND('Mapa final'!#REF!="Muy Baja",'Mapa final'!#REF!="Mayor"),CONCATENATE("R",'Mapa final'!#REF!),"")</f>
        <v>#REF!</v>
      </c>
      <c r="AC38" s="339"/>
      <c r="AD38" s="339" t="str">
        <f>IF(AND('Mapa final'!$L$11="Muy Baja",'Mapa final'!$P$11="Mayor"),CONCATENATE("R",'Mapa final'!$A$11),"")</f>
        <v/>
      </c>
      <c r="AE38" s="339"/>
      <c r="AF38" s="339" t="e">
        <f>IF(AND('Mapa final'!#REF!="Muy Baja",'Mapa final'!#REF!="Mayor"),CONCATENATE("R",'Mapa final'!#REF!),"")</f>
        <v>#REF!</v>
      </c>
      <c r="AG38" s="341"/>
      <c r="AH38" s="353" t="e">
        <f>IF(AND('Mapa final'!#REF!="Muy Baja",'Mapa final'!#REF!="Catastrófico"),CONCATENATE("R",'Mapa final'!#REF!),"")</f>
        <v>#REF!</v>
      </c>
      <c r="AI38" s="354"/>
      <c r="AJ38" s="354" t="str">
        <f>IF(AND('Mapa final'!$L$11="Muy Baja",'Mapa final'!$P$11="Catastrófico"),CONCATENATE("R",'Mapa final'!$A$11),"")</f>
        <v/>
      </c>
      <c r="AK38" s="354"/>
      <c r="AL38" s="354" t="e">
        <f>IF(AND('Mapa final'!#REF!="Muy Baja",'Mapa final'!#REF!="Catastrófico"),CONCATENATE("R",'Mapa final'!#REF!),"")</f>
        <v>#REF!</v>
      </c>
      <c r="AM38" s="35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c r="A39" s="75"/>
      <c r="B39" s="289"/>
      <c r="C39" s="289"/>
      <c r="D39" s="290"/>
      <c r="E39" s="330"/>
      <c r="F39" s="331"/>
      <c r="G39" s="331"/>
      <c r="H39" s="331"/>
      <c r="I39" s="332"/>
      <c r="J39" s="367"/>
      <c r="K39" s="365"/>
      <c r="L39" s="365"/>
      <c r="M39" s="365"/>
      <c r="N39" s="365"/>
      <c r="O39" s="366"/>
      <c r="P39" s="367"/>
      <c r="Q39" s="365"/>
      <c r="R39" s="365"/>
      <c r="S39" s="365"/>
      <c r="T39" s="365"/>
      <c r="U39" s="366"/>
      <c r="V39" s="356"/>
      <c r="W39" s="357"/>
      <c r="X39" s="357"/>
      <c r="Y39" s="357"/>
      <c r="Z39" s="357"/>
      <c r="AA39" s="358"/>
      <c r="AB39" s="340"/>
      <c r="AC39" s="336"/>
      <c r="AD39" s="336"/>
      <c r="AE39" s="336"/>
      <c r="AF39" s="336"/>
      <c r="AG39" s="337"/>
      <c r="AH39" s="347"/>
      <c r="AI39" s="348"/>
      <c r="AJ39" s="348"/>
      <c r="AK39" s="348"/>
      <c r="AL39" s="348"/>
      <c r="AM39" s="349"/>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c r="A40" s="75"/>
      <c r="B40" s="289"/>
      <c r="C40" s="289"/>
      <c r="D40" s="290"/>
      <c r="E40" s="330"/>
      <c r="F40" s="331"/>
      <c r="G40" s="331"/>
      <c r="H40" s="331"/>
      <c r="I40" s="332"/>
      <c r="J40" s="367" t="e">
        <f>IF(AND('Mapa final'!#REF!="Muy Baja",'Mapa final'!#REF!="Leve"),CONCATENATE("R",'Mapa final'!#REF!),"")</f>
        <v>#REF!</v>
      </c>
      <c r="K40" s="365"/>
      <c r="L40" s="365" t="e">
        <f>IF(AND('Mapa final'!#REF!="Muy Baja",'Mapa final'!#REF!="Leve"),CONCATENATE("R",'Mapa final'!#REF!),"")</f>
        <v>#REF!</v>
      </c>
      <c r="M40" s="365"/>
      <c r="N40" s="365" t="e">
        <f>IF(AND('Mapa final'!#REF!="Muy Baja",'Mapa final'!#REF!="Leve"),CONCATENATE("R",'Mapa final'!#REF!),"")</f>
        <v>#REF!</v>
      </c>
      <c r="O40" s="366"/>
      <c r="P40" s="367" t="e">
        <f>IF(AND('Mapa final'!#REF!="Muy Baja",'Mapa final'!#REF!="Menor"),CONCATENATE("R",'Mapa final'!#REF!),"")</f>
        <v>#REF!</v>
      </c>
      <c r="Q40" s="365"/>
      <c r="R40" s="365" t="e">
        <f>IF(AND('Mapa final'!#REF!="Muy Baja",'Mapa final'!#REF!="Menor"),CONCATENATE("R",'Mapa final'!#REF!),"")</f>
        <v>#REF!</v>
      </c>
      <c r="S40" s="365"/>
      <c r="T40" s="365" t="e">
        <f>IF(AND('Mapa final'!#REF!="Muy Baja",'Mapa final'!#REF!="Menor"),CONCATENATE("R",'Mapa final'!#REF!),"")</f>
        <v>#REF!</v>
      </c>
      <c r="U40" s="366"/>
      <c r="V40" s="356" t="e">
        <f>IF(AND('Mapa final'!#REF!="Muy Baja",'Mapa final'!#REF!="Moderado"),CONCATENATE("R",'Mapa final'!#REF!),"")</f>
        <v>#REF!</v>
      </c>
      <c r="W40" s="357"/>
      <c r="X40" s="357" t="e">
        <f>IF(AND('Mapa final'!#REF!="Muy Baja",'Mapa final'!#REF!="Moderado"),CONCATENATE("R",'Mapa final'!#REF!),"")</f>
        <v>#REF!</v>
      </c>
      <c r="Y40" s="357"/>
      <c r="Z40" s="357" t="e">
        <f>IF(AND('Mapa final'!#REF!="Muy Baja",'Mapa final'!#REF!="Moderado"),CONCATENATE("R",'Mapa final'!#REF!),"")</f>
        <v>#REF!</v>
      </c>
      <c r="AA40" s="358"/>
      <c r="AB40" s="340" t="e">
        <f>IF(AND('Mapa final'!#REF!="Muy Baja",'Mapa final'!#REF!="Mayor"),CONCATENATE("R",'Mapa final'!#REF!),"")</f>
        <v>#REF!</v>
      </c>
      <c r="AC40" s="336"/>
      <c r="AD40" s="336" t="e">
        <f>IF(AND('Mapa final'!#REF!="Muy Baja",'Mapa final'!#REF!="Mayor"),CONCATENATE("R",'Mapa final'!#REF!),"")</f>
        <v>#REF!</v>
      </c>
      <c r="AE40" s="336"/>
      <c r="AF40" s="336" t="e">
        <f>IF(AND('Mapa final'!#REF!="Muy Baja",'Mapa final'!#REF!="Mayor"),CONCATENATE("R",'Mapa final'!#REF!),"")</f>
        <v>#REF!</v>
      </c>
      <c r="AG40" s="337"/>
      <c r="AH40" s="347" t="e">
        <f>IF(AND('Mapa final'!#REF!="Muy Baja",'Mapa final'!#REF!="Catastrófico"),CONCATENATE("R",'Mapa final'!#REF!),"")</f>
        <v>#REF!</v>
      </c>
      <c r="AI40" s="348"/>
      <c r="AJ40" s="348" t="e">
        <f>IF(AND('Mapa final'!#REF!="Muy Baja",'Mapa final'!#REF!="Catastrófico"),CONCATENATE("R",'Mapa final'!#REF!),"")</f>
        <v>#REF!</v>
      </c>
      <c r="AK40" s="348"/>
      <c r="AL40" s="348" t="e">
        <f>IF(AND('Mapa final'!#REF!="Muy Baja",'Mapa final'!#REF!="Catastrófico"),CONCATENATE("R",'Mapa final'!#REF!),"")</f>
        <v>#REF!</v>
      </c>
      <c r="AM40" s="349"/>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c r="A41" s="75"/>
      <c r="B41" s="289"/>
      <c r="C41" s="289"/>
      <c r="D41" s="290"/>
      <c r="E41" s="330"/>
      <c r="F41" s="331"/>
      <c r="G41" s="331"/>
      <c r="H41" s="331"/>
      <c r="I41" s="332"/>
      <c r="J41" s="367"/>
      <c r="K41" s="365"/>
      <c r="L41" s="365"/>
      <c r="M41" s="365"/>
      <c r="N41" s="365"/>
      <c r="O41" s="366"/>
      <c r="P41" s="367"/>
      <c r="Q41" s="365"/>
      <c r="R41" s="365"/>
      <c r="S41" s="365"/>
      <c r="T41" s="365"/>
      <c r="U41" s="366"/>
      <c r="V41" s="356"/>
      <c r="W41" s="357"/>
      <c r="X41" s="357"/>
      <c r="Y41" s="357"/>
      <c r="Z41" s="357"/>
      <c r="AA41" s="358"/>
      <c r="AB41" s="340"/>
      <c r="AC41" s="336"/>
      <c r="AD41" s="336"/>
      <c r="AE41" s="336"/>
      <c r="AF41" s="336"/>
      <c r="AG41" s="337"/>
      <c r="AH41" s="347"/>
      <c r="AI41" s="348"/>
      <c r="AJ41" s="348"/>
      <c r="AK41" s="348"/>
      <c r="AL41" s="348"/>
      <c r="AM41" s="349"/>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c r="A42" s="75"/>
      <c r="B42" s="289"/>
      <c r="C42" s="289"/>
      <c r="D42" s="290"/>
      <c r="E42" s="330"/>
      <c r="F42" s="331"/>
      <c r="G42" s="331"/>
      <c r="H42" s="331"/>
      <c r="I42" s="332"/>
      <c r="J42" s="367" t="e">
        <f>IF(AND('Mapa final'!#REF!="Muy Baja",'Mapa final'!#REF!="Leve"),CONCATENATE("R",'Mapa final'!#REF!),"")</f>
        <v>#REF!</v>
      </c>
      <c r="K42" s="365"/>
      <c r="L42" s="365" t="e">
        <f>IF(AND('Mapa final'!#REF!="Muy Baja",'Mapa final'!#REF!="Leve"),CONCATENATE("R",'Mapa final'!#REF!),"")</f>
        <v>#REF!</v>
      </c>
      <c r="M42" s="365"/>
      <c r="N42" s="365" t="e">
        <f>IF(AND('Mapa final'!#REF!="Muy Baja",'Mapa final'!#REF!="Leve"),CONCATENATE("R",'Mapa final'!#REF!),"")</f>
        <v>#REF!</v>
      </c>
      <c r="O42" s="366"/>
      <c r="P42" s="367" t="e">
        <f>IF(AND('Mapa final'!#REF!="Muy Baja",'Mapa final'!#REF!="Menor"),CONCATENATE("R",'Mapa final'!#REF!),"")</f>
        <v>#REF!</v>
      </c>
      <c r="Q42" s="365"/>
      <c r="R42" s="365" t="e">
        <f>IF(AND('Mapa final'!#REF!="Muy Baja",'Mapa final'!#REF!="Menor"),CONCATENATE("R",'Mapa final'!#REF!),"")</f>
        <v>#REF!</v>
      </c>
      <c r="S42" s="365"/>
      <c r="T42" s="365" t="e">
        <f>IF(AND('Mapa final'!#REF!="Muy Baja",'Mapa final'!#REF!="Menor"),CONCATENATE("R",'Mapa final'!#REF!),"")</f>
        <v>#REF!</v>
      </c>
      <c r="U42" s="366"/>
      <c r="V42" s="356" t="e">
        <f>IF(AND('Mapa final'!#REF!="Muy Baja",'Mapa final'!#REF!="Moderado"),CONCATENATE("R",'Mapa final'!#REF!),"")</f>
        <v>#REF!</v>
      </c>
      <c r="W42" s="357"/>
      <c r="X42" s="357" t="e">
        <f>IF(AND('Mapa final'!#REF!="Muy Baja",'Mapa final'!#REF!="Moderado"),CONCATENATE("R",'Mapa final'!#REF!),"")</f>
        <v>#REF!</v>
      </c>
      <c r="Y42" s="357"/>
      <c r="Z42" s="357" t="e">
        <f>IF(AND('Mapa final'!#REF!="Muy Baja",'Mapa final'!#REF!="Moderado"),CONCATENATE("R",'Mapa final'!#REF!),"")</f>
        <v>#REF!</v>
      </c>
      <c r="AA42" s="358"/>
      <c r="AB42" s="340" t="e">
        <f>IF(AND('Mapa final'!#REF!="Muy Baja",'Mapa final'!#REF!="Mayor"),CONCATENATE("R",'Mapa final'!#REF!),"")</f>
        <v>#REF!</v>
      </c>
      <c r="AC42" s="336"/>
      <c r="AD42" s="336" t="e">
        <f>IF(AND('Mapa final'!#REF!="Muy Baja",'Mapa final'!#REF!="Mayor"),CONCATENATE("R",'Mapa final'!#REF!),"")</f>
        <v>#REF!</v>
      </c>
      <c r="AE42" s="336"/>
      <c r="AF42" s="336" t="e">
        <f>IF(AND('Mapa final'!#REF!="Muy Baja",'Mapa final'!#REF!="Mayor"),CONCATENATE("R",'Mapa final'!#REF!),"")</f>
        <v>#REF!</v>
      </c>
      <c r="AG42" s="337"/>
      <c r="AH42" s="347" t="e">
        <f>IF(AND('Mapa final'!#REF!="Muy Baja",'Mapa final'!#REF!="Catastrófico"),CONCATENATE("R",'Mapa final'!#REF!),"")</f>
        <v>#REF!</v>
      </c>
      <c r="AI42" s="348"/>
      <c r="AJ42" s="348" t="e">
        <f>IF(AND('Mapa final'!#REF!="Muy Baja",'Mapa final'!#REF!="Catastrófico"),CONCATENATE("R",'Mapa final'!#REF!),"")</f>
        <v>#REF!</v>
      </c>
      <c r="AK42" s="348"/>
      <c r="AL42" s="348" t="e">
        <f>IF(AND('Mapa final'!#REF!="Muy Baja",'Mapa final'!#REF!="Catastrófico"),CONCATENATE("R",'Mapa final'!#REF!),"")</f>
        <v>#REF!</v>
      </c>
      <c r="AM42" s="349"/>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c r="A43" s="75"/>
      <c r="B43" s="289"/>
      <c r="C43" s="289"/>
      <c r="D43" s="290"/>
      <c r="E43" s="330"/>
      <c r="F43" s="331"/>
      <c r="G43" s="331"/>
      <c r="H43" s="331"/>
      <c r="I43" s="332"/>
      <c r="J43" s="367"/>
      <c r="K43" s="365"/>
      <c r="L43" s="365"/>
      <c r="M43" s="365"/>
      <c r="N43" s="365"/>
      <c r="O43" s="366"/>
      <c r="P43" s="367"/>
      <c r="Q43" s="365"/>
      <c r="R43" s="365"/>
      <c r="S43" s="365"/>
      <c r="T43" s="365"/>
      <c r="U43" s="366"/>
      <c r="V43" s="356"/>
      <c r="W43" s="357"/>
      <c r="X43" s="357"/>
      <c r="Y43" s="357"/>
      <c r="Z43" s="357"/>
      <c r="AA43" s="358"/>
      <c r="AB43" s="340"/>
      <c r="AC43" s="336"/>
      <c r="AD43" s="336"/>
      <c r="AE43" s="336"/>
      <c r="AF43" s="336"/>
      <c r="AG43" s="337"/>
      <c r="AH43" s="347"/>
      <c r="AI43" s="348"/>
      <c r="AJ43" s="348"/>
      <c r="AK43" s="348"/>
      <c r="AL43" s="348"/>
      <c r="AM43" s="349"/>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c r="A44" s="75"/>
      <c r="B44" s="289"/>
      <c r="C44" s="289"/>
      <c r="D44" s="290"/>
      <c r="E44" s="330"/>
      <c r="F44" s="331"/>
      <c r="G44" s="331"/>
      <c r="H44" s="331"/>
      <c r="I44" s="332"/>
      <c r="J44" s="367" t="e">
        <f>IF(AND('Mapa final'!#REF!="Muy Baja",'Mapa final'!#REF!="Leve"),CONCATENATE("R",'Mapa final'!#REF!),"")</f>
        <v>#REF!</v>
      </c>
      <c r="K44" s="365"/>
      <c r="L44" s="365" t="str">
        <f>IF(AND('Mapa final'!$L$17="Muy Baja",'Mapa final'!$P$17="Leve"),CONCATENATE("R",'Mapa final'!$A$17),"")</f>
        <v/>
      </c>
      <c r="M44" s="365"/>
      <c r="N44" s="365" t="str">
        <f>IF(AND('Mapa final'!$L$19="Muy Baja",'Mapa final'!$P$19="Leve"),CONCATENATE("R",'Mapa final'!$A$19),"")</f>
        <v/>
      </c>
      <c r="O44" s="366"/>
      <c r="P44" s="367" t="e">
        <f>IF(AND('Mapa final'!#REF!="Muy Baja",'Mapa final'!#REF!="Menor"),CONCATENATE("R",'Mapa final'!#REF!),"")</f>
        <v>#REF!</v>
      </c>
      <c r="Q44" s="365"/>
      <c r="R44" s="365" t="str">
        <f>IF(AND('Mapa final'!$L$17="Muy Baja",'Mapa final'!$P$17="Menor"),CONCATENATE("R",'Mapa final'!$A$17),"")</f>
        <v/>
      </c>
      <c r="S44" s="365"/>
      <c r="T44" s="365" t="str">
        <f>IF(AND('Mapa final'!$L$19="Muy Baja",'Mapa final'!$P$19="Menor"),CONCATENATE("R",'Mapa final'!$A$19),"")</f>
        <v/>
      </c>
      <c r="U44" s="366"/>
      <c r="V44" s="356" t="e">
        <f>IF(AND('Mapa final'!#REF!="Muy Baja",'Mapa final'!#REF!="Moderado"),CONCATENATE("R",'Mapa final'!#REF!),"")</f>
        <v>#REF!</v>
      </c>
      <c r="W44" s="357"/>
      <c r="X44" s="357" t="str">
        <f>IF(AND('Mapa final'!$L$17="Muy Baja",'Mapa final'!$P$17="Moderado"),CONCATENATE("R",'Mapa final'!$A$17),"")</f>
        <v/>
      </c>
      <c r="Y44" s="357"/>
      <c r="Z44" s="357" t="str">
        <f>IF(AND('Mapa final'!$L$19="Muy Baja",'Mapa final'!$P$19="Moderado"),CONCATENATE("R",'Mapa final'!$A$19),"")</f>
        <v/>
      </c>
      <c r="AA44" s="358"/>
      <c r="AB44" s="340" t="e">
        <f>IF(AND('Mapa final'!#REF!="Muy Baja",'Mapa final'!#REF!="Mayor"),CONCATENATE("R",'Mapa final'!#REF!),"")</f>
        <v>#REF!</v>
      </c>
      <c r="AC44" s="336"/>
      <c r="AD44" s="336" t="str">
        <f>IF(AND('Mapa final'!$L$17="Muy Baja",'Mapa final'!$P$17="Mayor"),CONCATENATE("R",'Mapa final'!$A$17),"")</f>
        <v/>
      </c>
      <c r="AE44" s="336"/>
      <c r="AF44" s="336" t="str">
        <f>IF(AND('Mapa final'!$L$19="Muy Baja",'Mapa final'!$P$19="Mayor"),CONCATENATE("R",'Mapa final'!$A$19),"")</f>
        <v/>
      </c>
      <c r="AG44" s="337"/>
      <c r="AH44" s="347" t="e">
        <f>IF(AND('Mapa final'!#REF!="Muy Baja",'Mapa final'!#REF!="Catastrófico"),CONCATENATE("R",'Mapa final'!#REF!),"")</f>
        <v>#REF!</v>
      </c>
      <c r="AI44" s="348"/>
      <c r="AJ44" s="348" t="str">
        <f>IF(AND('Mapa final'!$L$17="Muy Baja",'Mapa final'!$P$17="Catastrófico"),CONCATENATE("R",'Mapa final'!$A$17),"")</f>
        <v/>
      </c>
      <c r="AK44" s="348"/>
      <c r="AL44" s="348" t="str">
        <f>IF(AND('Mapa final'!$L$19="Muy Baja",'Mapa final'!$P$19="Catastrófico"),CONCATENATE("R",'Mapa final'!$A$19),"")</f>
        <v/>
      </c>
      <c r="AM44" s="349"/>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c r="A45" s="75"/>
      <c r="B45" s="289"/>
      <c r="C45" s="289"/>
      <c r="D45" s="290"/>
      <c r="E45" s="333"/>
      <c r="F45" s="334"/>
      <c r="G45" s="334"/>
      <c r="H45" s="334"/>
      <c r="I45" s="335"/>
      <c r="J45" s="368"/>
      <c r="K45" s="369"/>
      <c r="L45" s="369"/>
      <c r="M45" s="369"/>
      <c r="N45" s="369"/>
      <c r="O45" s="370"/>
      <c r="P45" s="368"/>
      <c r="Q45" s="369"/>
      <c r="R45" s="369"/>
      <c r="S45" s="369"/>
      <c r="T45" s="369"/>
      <c r="U45" s="370"/>
      <c r="V45" s="359"/>
      <c r="W45" s="360"/>
      <c r="X45" s="360"/>
      <c r="Y45" s="360"/>
      <c r="Z45" s="360"/>
      <c r="AA45" s="361"/>
      <c r="AB45" s="344"/>
      <c r="AC45" s="345"/>
      <c r="AD45" s="345"/>
      <c r="AE45" s="345"/>
      <c r="AF45" s="345"/>
      <c r="AG45" s="346"/>
      <c r="AH45" s="350"/>
      <c r="AI45" s="351"/>
      <c r="AJ45" s="351"/>
      <c r="AK45" s="351"/>
      <c r="AL45" s="351"/>
      <c r="AM45" s="352"/>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c r="A46" s="75"/>
      <c r="B46" s="75"/>
      <c r="C46" s="75"/>
      <c r="D46" s="75"/>
      <c r="E46" s="75"/>
      <c r="F46" s="75"/>
      <c r="G46" s="75"/>
      <c r="H46" s="75"/>
      <c r="I46" s="75"/>
      <c r="J46" s="327" t="s">
        <v>111</v>
      </c>
      <c r="K46" s="328"/>
      <c r="L46" s="328"/>
      <c r="M46" s="328"/>
      <c r="N46" s="328"/>
      <c r="O46" s="329"/>
      <c r="P46" s="327" t="s">
        <v>110</v>
      </c>
      <c r="Q46" s="328"/>
      <c r="R46" s="328"/>
      <c r="S46" s="328"/>
      <c r="T46" s="328"/>
      <c r="U46" s="329"/>
      <c r="V46" s="327" t="s">
        <v>109</v>
      </c>
      <c r="W46" s="328"/>
      <c r="X46" s="328"/>
      <c r="Y46" s="328"/>
      <c r="Z46" s="328"/>
      <c r="AA46" s="329"/>
      <c r="AB46" s="327" t="s">
        <v>108</v>
      </c>
      <c r="AC46" s="343"/>
      <c r="AD46" s="328"/>
      <c r="AE46" s="328"/>
      <c r="AF46" s="328"/>
      <c r="AG46" s="329"/>
      <c r="AH46" s="327" t="s">
        <v>107</v>
      </c>
      <c r="AI46" s="328"/>
      <c r="AJ46" s="328"/>
      <c r="AK46" s="328"/>
      <c r="AL46" s="328"/>
      <c r="AM46" s="329"/>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c r="A47" s="75"/>
      <c r="B47" s="75"/>
      <c r="C47" s="75"/>
      <c r="D47" s="75"/>
      <c r="E47" s="75"/>
      <c r="F47" s="75"/>
      <c r="G47" s="75"/>
      <c r="H47" s="75"/>
      <c r="I47" s="75"/>
      <c r="J47" s="330"/>
      <c r="K47" s="331"/>
      <c r="L47" s="331"/>
      <c r="M47" s="331"/>
      <c r="N47" s="331"/>
      <c r="O47" s="332"/>
      <c r="P47" s="330"/>
      <c r="Q47" s="331"/>
      <c r="R47" s="331"/>
      <c r="S47" s="331"/>
      <c r="T47" s="331"/>
      <c r="U47" s="332"/>
      <c r="V47" s="330"/>
      <c r="W47" s="331"/>
      <c r="X47" s="331"/>
      <c r="Y47" s="331"/>
      <c r="Z47" s="331"/>
      <c r="AA47" s="332"/>
      <c r="AB47" s="330"/>
      <c r="AC47" s="331"/>
      <c r="AD47" s="331"/>
      <c r="AE47" s="331"/>
      <c r="AF47" s="331"/>
      <c r="AG47" s="332"/>
      <c r="AH47" s="330"/>
      <c r="AI47" s="331"/>
      <c r="AJ47" s="331"/>
      <c r="AK47" s="331"/>
      <c r="AL47" s="331"/>
      <c r="AM47" s="332"/>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c r="A48" s="75"/>
      <c r="B48" s="75"/>
      <c r="C48" s="75"/>
      <c r="D48" s="75"/>
      <c r="E48" s="75"/>
      <c r="F48" s="75"/>
      <c r="G48" s="75"/>
      <c r="H48" s="75"/>
      <c r="I48" s="75"/>
      <c r="J48" s="330"/>
      <c r="K48" s="331"/>
      <c r="L48" s="331"/>
      <c r="M48" s="331"/>
      <c r="N48" s="331"/>
      <c r="O48" s="332"/>
      <c r="P48" s="330"/>
      <c r="Q48" s="331"/>
      <c r="R48" s="331"/>
      <c r="S48" s="331"/>
      <c r="T48" s="331"/>
      <c r="U48" s="332"/>
      <c r="V48" s="330"/>
      <c r="W48" s="331"/>
      <c r="X48" s="331"/>
      <c r="Y48" s="331"/>
      <c r="Z48" s="331"/>
      <c r="AA48" s="332"/>
      <c r="AB48" s="330"/>
      <c r="AC48" s="331"/>
      <c r="AD48" s="331"/>
      <c r="AE48" s="331"/>
      <c r="AF48" s="331"/>
      <c r="AG48" s="332"/>
      <c r="AH48" s="330"/>
      <c r="AI48" s="331"/>
      <c r="AJ48" s="331"/>
      <c r="AK48" s="331"/>
      <c r="AL48" s="331"/>
      <c r="AM48" s="332"/>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c r="A49" s="75"/>
      <c r="B49" s="75"/>
      <c r="C49" s="75"/>
      <c r="D49" s="75"/>
      <c r="E49" s="75"/>
      <c r="F49" s="75"/>
      <c r="G49" s="75"/>
      <c r="H49" s="75"/>
      <c r="I49" s="75"/>
      <c r="J49" s="330"/>
      <c r="K49" s="331"/>
      <c r="L49" s="331"/>
      <c r="M49" s="331"/>
      <c r="N49" s="331"/>
      <c r="O49" s="332"/>
      <c r="P49" s="330"/>
      <c r="Q49" s="331"/>
      <c r="R49" s="331"/>
      <c r="S49" s="331"/>
      <c r="T49" s="331"/>
      <c r="U49" s="332"/>
      <c r="V49" s="330"/>
      <c r="W49" s="331"/>
      <c r="X49" s="331"/>
      <c r="Y49" s="331"/>
      <c r="Z49" s="331"/>
      <c r="AA49" s="332"/>
      <c r="AB49" s="330"/>
      <c r="AC49" s="331"/>
      <c r="AD49" s="331"/>
      <c r="AE49" s="331"/>
      <c r="AF49" s="331"/>
      <c r="AG49" s="332"/>
      <c r="AH49" s="330"/>
      <c r="AI49" s="331"/>
      <c r="AJ49" s="331"/>
      <c r="AK49" s="331"/>
      <c r="AL49" s="331"/>
      <c r="AM49" s="332"/>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c r="A50" s="75"/>
      <c r="B50" s="75"/>
      <c r="C50" s="75"/>
      <c r="D50" s="75"/>
      <c r="E50" s="75"/>
      <c r="F50" s="75"/>
      <c r="G50" s="75"/>
      <c r="H50" s="75"/>
      <c r="I50" s="75"/>
      <c r="J50" s="330"/>
      <c r="K50" s="331"/>
      <c r="L50" s="331"/>
      <c r="M50" s="331"/>
      <c r="N50" s="331"/>
      <c r="O50" s="332"/>
      <c r="P50" s="330"/>
      <c r="Q50" s="331"/>
      <c r="R50" s="331"/>
      <c r="S50" s="331"/>
      <c r="T50" s="331"/>
      <c r="U50" s="332"/>
      <c r="V50" s="330"/>
      <c r="W50" s="331"/>
      <c r="X50" s="331"/>
      <c r="Y50" s="331"/>
      <c r="Z50" s="331"/>
      <c r="AA50" s="332"/>
      <c r="AB50" s="330"/>
      <c r="AC50" s="331"/>
      <c r="AD50" s="331"/>
      <c r="AE50" s="331"/>
      <c r="AF50" s="331"/>
      <c r="AG50" s="332"/>
      <c r="AH50" s="330"/>
      <c r="AI50" s="331"/>
      <c r="AJ50" s="331"/>
      <c r="AK50" s="331"/>
      <c r="AL50" s="331"/>
      <c r="AM50" s="332"/>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c r="A51" s="75"/>
      <c r="B51" s="75"/>
      <c r="C51" s="75"/>
      <c r="D51" s="75"/>
      <c r="E51" s="75"/>
      <c r="F51" s="75"/>
      <c r="G51" s="75"/>
      <c r="H51" s="75"/>
      <c r="I51" s="75"/>
      <c r="J51" s="333"/>
      <c r="K51" s="334"/>
      <c r="L51" s="334"/>
      <c r="M51" s="334"/>
      <c r="N51" s="334"/>
      <c r="O51" s="335"/>
      <c r="P51" s="333"/>
      <c r="Q51" s="334"/>
      <c r="R51" s="334"/>
      <c r="S51" s="334"/>
      <c r="T51" s="334"/>
      <c r="U51" s="335"/>
      <c r="V51" s="333"/>
      <c r="W51" s="334"/>
      <c r="X51" s="334"/>
      <c r="Y51" s="334"/>
      <c r="Z51" s="334"/>
      <c r="AA51" s="335"/>
      <c r="AB51" s="333"/>
      <c r="AC51" s="334"/>
      <c r="AD51" s="334"/>
      <c r="AE51" s="334"/>
      <c r="AF51" s="334"/>
      <c r="AG51" s="335"/>
      <c r="AH51" s="333"/>
      <c r="AI51" s="334"/>
      <c r="AJ51" s="334"/>
      <c r="AK51" s="334"/>
      <c r="AL51" s="334"/>
      <c r="AM51" s="33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c r="B137" s="75"/>
      <c r="C137" s="75"/>
      <c r="D137" s="75"/>
      <c r="E137" s="75"/>
      <c r="F137" s="75"/>
      <c r="G137" s="75"/>
      <c r="H137" s="75"/>
      <c r="I137" s="75"/>
    </row>
    <row r="138" spans="2:63">
      <c r="B138" s="75"/>
      <c r="C138" s="75"/>
      <c r="D138" s="75"/>
      <c r="E138" s="75"/>
      <c r="F138" s="75"/>
      <c r="G138" s="75"/>
      <c r="H138" s="75"/>
      <c r="I138" s="75"/>
    </row>
    <row r="139" spans="2:63">
      <c r="B139" s="75"/>
      <c r="C139" s="75"/>
      <c r="D139" s="75"/>
      <c r="E139" s="75"/>
      <c r="F139" s="75"/>
      <c r="G139" s="75"/>
      <c r="H139" s="75"/>
      <c r="I139" s="75"/>
    </row>
    <row r="140" spans="2:63">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c r="A2" s="75"/>
      <c r="B2" s="400" t="s">
        <v>157</v>
      </c>
      <c r="C2" s="401"/>
      <c r="D2" s="401"/>
      <c r="E2" s="401"/>
      <c r="F2" s="401"/>
      <c r="G2" s="401"/>
      <c r="H2" s="401"/>
      <c r="I2" s="401"/>
      <c r="J2" s="342"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c r="A3" s="75"/>
      <c r="B3" s="401"/>
      <c r="C3" s="401"/>
      <c r="D3" s="401"/>
      <c r="E3" s="401"/>
      <c r="F3" s="401"/>
      <c r="G3" s="401"/>
      <c r="H3" s="401"/>
      <c r="I3" s="401"/>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c r="A4" s="75"/>
      <c r="B4" s="401"/>
      <c r="C4" s="401"/>
      <c r="D4" s="401"/>
      <c r="E4" s="401"/>
      <c r="F4" s="401"/>
      <c r="G4" s="401"/>
      <c r="H4" s="401"/>
      <c r="I4" s="401"/>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c r="A6" s="75"/>
      <c r="B6" s="289" t="s">
        <v>4</v>
      </c>
      <c r="C6" s="289"/>
      <c r="D6" s="290"/>
      <c r="E6" s="384" t="s">
        <v>115</v>
      </c>
      <c r="F6" s="385"/>
      <c r="G6" s="385"/>
      <c r="H6" s="385"/>
      <c r="I6" s="402"/>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91" t="s">
        <v>78</v>
      </c>
      <c r="AP6" s="392"/>
      <c r="AQ6" s="392"/>
      <c r="AR6" s="392"/>
      <c r="AS6" s="392"/>
      <c r="AT6" s="393"/>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c r="A7" s="75"/>
      <c r="B7" s="289"/>
      <c r="C7" s="289"/>
      <c r="D7" s="290"/>
      <c r="E7" s="388"/>
      <c r="F7" s="387"/>
      <c r="G7" s="387"/>
      <c r="H7" s="387"/>
      <c r="I7" s="403"/>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94"/>
      <c r="AP7" s="395"/>
      <c r="AQ7" s="395"/>
      <c r="AR7" s="395"/>
      <c r="AS7" s="395"/>
      <c r="AT7" s="396"/>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c r="A8" s="75"/>
      <c r="B8" s="289"/>
      <c r="C8" s="289"/>
      <c r="D8" s="290"/>
      <c r="E8" s="388"/>
      <c r="F8" s="387"/>
      <c r="G8" s="387"/>
      <c r="H8" s="387"/>
      <c r="I8" s="403"/>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94"/>
      <c r="AP8" s="395"/>
      <c r="AQ8" s="395"/>
      <c r="AR8" s="395"/>
      <c r="AS8" s="395"/>
      <c r="AT8" s="396"/>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c r="A9" s="75"/>
      <c r="B9" s="289"/>
      <c r="C9" s="289"/>
      <c r="D9" s="290"/>
      <c r="E9" s="388"/>
      <c r="F9" s="387"/>
      <c r="G9" s="387"/>
      <c r="H9" s="387"/>
      <c r="I9" s="403"/>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94"/>
      <c r="AP9" s="395"/>
      <c r="AQ9" s="395"/>
      <c r="AR9" s="395"/>
      <c r="AS9" s="395"/>
      <c r="AT9" s="396"/>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c r="A10" s="75"/>
      <c r="B10" s="289"/>
      <c r="C10" s="289"/>
      <c r="D10" s="290"/>
      <c r="E10" s="388"/>
      <c r="F10" s="387"/>
      <c r="G10" s="387"/>
      <c r="H10" s="387"/>
      <c r="I10" s="403"/>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94"/>
      <c r="AP10" s="395"/>
      <c r="AQ10" s="395"/>
      <c r="AR10" s="395"/>
      <c r="AS10" s="395"/>
      <c r="AT10" s="396"/>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c r="A11" s="75"/>
      <c r="B11" s="289"/>
      <c r="C11" s="289"/>
      <c r="D11" s="290"/>
      <c r="E11" s="388"/>
      <c r="F11" s="387"/>
      <c r="G11" s="387"/>
      <c r="H11" s="387"/>
      <c r="I11" s="403"/>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94"/>
      <c r="AP11" s="395"/>
      <c r="AQ11" s="395"/>
      <c r="AR11" s="395"/>
      <c r="AS11" s="395"/>
      <c r="AT11" s="396"/>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c r="A12" s="75"/>
      <c r="B12" s="289"/>
      <c r="C12" s="289"/>
      <c r="D12" s="290"/>
      <c r="E12" s="388"/>
      <c r="F12" s="387"/>
      <c r="G12" s="387"/>
      <c r="H12" s="387"/>
      <c r="I12" s="403"/>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94"/>
      <c r="AP12" s="395"/>
      <c r="AQ12" s="395"/>
      <c r="AR12" s="395"/>
      <c r="AS12" s="395"/>
      <c r="AT12" s="396"/>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c r="A13" s="75"/>
      <c r="B13" s="289"/>
      <c r="C13" s="289"/>
      <c r="D13" s="290"/>
      <c r="E13" s="388"/>
      <c r="F13" s="387"/>
      <c r="G13" s="387"/>
      <c r="H13" s="387"/>
      <c r="I13" s="403"/>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94"/>
      <c r="AP13" s="395"/>
      <c r="AQ13" s="395"/>
      <c r="AR13" s="395"/>
      <c r="AS13" s="395"/>
      <c r="AT13" s="396"/>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c r="A14" s="75"/>
      <c r="B14" s="289"/>
      <c r="C14" s="289"/>
      <c r="D14" s="290"/>
      <c r="E14" s="388"/>
      <c r="F14" s="387"/>
      <c r="G14" s="387"/>
      <c r="H14" s="387"/>
      <c r="I14" s="403"/>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94"/>
      <c r="AP14" s="395"/>
      <c r="AQ14" s="395"/>
      <c r="AR14" s="395"/>
      <c r="AS14" s="395"/>
      <c r="AT14" s="396"/>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c r="A15" s="75"/>
      <c r="B15" s="289"/>
      <c r="C15" s="289"/>
      <c r="D15" s="290"/>
      <c r="E15" s="389"/>
      <c r="F15" s="390"/>
      <c r="G15" s="390"/>
      <c r="H15" s="390"/>
      <c r="I15" s="404"/>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97"/>
      <c r="AP15" s="398"/>
      <c r="AQ15" s="398"/>
      <c r="AR15" s="398"/>
      <c r="AS15" s="398"/>
      <c r="AT15" s="399"/>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c r="A16" s="75"/>
      <c r="B16" s="289"/>
      <c r="C16" s="289"/>
      <c r="D16" s="290"/>
      <c r="E16" s="384" t="s">
        <v>114</v>
      </c>
      <c r="F16" s="385"/>
      <c r="G16" s="385"/>
      <c r="H16" s="385"/>
      <c r="I16" s="385"/>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75" t="s">
        <v>79</v>
      </c>
      <c r="AP16" s="376"/>
      <c r="AQ16" s="376"/>
      <c r="AR16" s="376"/>
      <c r="AS16" s="376"/>
      <c r="AT16" s="377"/>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c r="A17" s="75"/>
      <c r="B17" s="289"/>
      <c r="C17" s="289"/>
      <c r="D17" s="290"/>
      <c r="E17" s="386"/>
      <c r="F17" s="387"/>
      <c r="G17" s="387"/>
      <c r="H17" s="387"/>
      <c r="I17" s="387"/>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78"/>
      <c r="AP17" s="379"/>
      <c r="AQ17" s="379"/>
      <c r="AR17" s="379"/>
      <c r="AS17" s="379"/>
      <c r="AT17" s="38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c r="A18" s="75"/>
      <c r="B18" s="289"/>
      <c r="C18" s="289"/>
      <c r="D18" s="290"/>
      <c r="E18" s="388"/>
      <c r="F18" s="387"/>
      <c r="G18" s="387"/>
      <c r="H18" s="387"/>
      <c r="I18" s="387"/>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78"/>
      <c r="AP18" s="379"/>
      <c r="AQ18" s="379"/>
      <c r="AR18" s="379"/>
      <c r="AS18" s="379"/>
      <c r="AT18" s="38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c r="A19" s="75"/>
      <c r="B19" s="289"/>
      <c r="C19" s="289"/>
      <c r="D19" s="290"/>
      <c r="E19" s="388"/>
      <c r="F19" s="387"/>
      <c r="G19" s="387"/>
      <c r="H19" s="387"/>
      <c r="I19" s="387"/>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78"/>
      <c r="AP19" s="379"/>
      <c r="AQ19" s="379"/>
      <c r="AR19" s="379"/>
      <c r="AS19" s="379"/>
      <c r="AT19" s="38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c r="A20" s="75"/>
      <c r="B20" s="289"/>
      <c r="C20" s="289"/>
      <c r="D20" s="290"/>
      <c r="E20" s="388"/>
      <c r="F20" s="387"/>
      <c r="G20" s="387"/>
      <c r="H20" s="387"/>
      <c r="I20" s="387"/>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78"/>
      <c r="AP20" s="379"/>
      <c r="AQ20" s="379"/>
      <c r="AR20" s="379"/>
      <c r="AS20" s="379"/>
      <c r="AT20" s="38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c r="A21" s="75"/>
      <c r="B21" s="289"/>
      <c r="C21" s="289"/>
      <c r="D21" s="290"/>
      <c r="E21" s="388"/>
      <c r="F21" s="387"/>
      <c r="G21" s="387"/>
      <c r="H21" s="387"/>
      <c r="I21" s="387"/>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78"/>
      <c r="AP21" s="379"/>
      <c r="AQ21" s="379"/>
      <c r="AR21" s="379"/>
      <c r="AS21" s="379"/>
      <c r="AT21" s="380"/>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c r="A22" s="75"/>
      <c r="B22" s="289"/>
      <c r="C22" s="289"/>
      <c r="D22" s="290"/>
      <c r="E22" s="388"/>
      <c r="F22" s="387"/>
      <c r="G22" s="387"/>
      <c r="H22" s="387"/>
      <c r="I22" s="387"/>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78"/>
      <c r="AP22" s="379"/>
      <c r="AQ22" s="379"/>
      <c r="AR22" s="379"/>
      <c r="AS22" s="379"/>
      <c r="AT22" s="380"/>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c r="A23" s="75"/>
      <c r="B23" s="289"/>
      <c r="C23" s="289"/>
      <c r="D23" s="290"/>
      <c r="E23" s="388"/>
      <c r="F23" s="387"/>
      <c r="G23" s="387"/>
      <c r="H23" s="387"/>
      <c r="I23" s="387"/>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78"/>
      <c r="AP23" s="379"/>
      <c r="AQ23" s="379"/>
      <c r="AR23" s="379"/>
      <c r="AS23" s="379"/>
      <c r="AT23" s="380"/>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c r="A24" s="75"/>
      <c r="B24" s="289"/>
      <c r="C24" s="289"/>
      <c r="D24" s="290"/>
      <c r="E24" s="388"/>
      <c r="F24" s="387"/>
      <c r="G24" s="387"/>
      <c r="H24" s="387"/>
      <c r="I24" s="387"/>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78"/>
      <c r="AP24" s="379"/>
      <c r="AQ24" s="379"/>
      <c r="AR24" s="379"/>
      <c r="AS24" s="379"/>
      <c r="AT24" s="380"/>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c r="A25" s="75"/>
      <c r="B25" s="289"/>
      <c r="C25" s="289"/>
      <c r="D25" s="290"/>
      <c r="E25" s="389"/>
      <c r="F25" s="390"/>
      <c r="G25" s="390"/>
      <c r="H25" s="390"/>
      <c r="I25" s="390"/>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81"/>
      <c r="AP25" s="382"/>
      <c r="AQ25" s="382"/>
      <c r="AR25" s="382"/>
      <c r="AS25" s="382"/>
      <c r="AT25" s="383"/>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c r="A26" s="75"/>
      <c r="B26" s="289"/>
      <c r="C26" s="289"/>
      <c r="D26" s="290"/>
      <c r="E26" s="384" t="s">
        <v>116</v>
      </c>
      <c r="F26" s="385"/>
      <c r="G26" s="385"/>
      <c r="H26" s="385"/>
      <c r="I26" s="402"/>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414" t="s">
        <v>80</v>
      </c>
      <c r="AP26" s="415"/>
      <c r="AQ26" s="415"/>
      <c r="AR26" s="415"/>
      <c r="AS26" s="415"/>
      <c r="AT26" s="416"/>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c r="A27" s="75"/>
      <c r="B27" s="289"/>
      <c r="C27" s="289"/>
      <c r="D27" s="290"/>
      <c r="E27" s="386"/>
      <c r="F27" s="387"/>
      <c r="G27" s="387"/>
      <c r="H27" s="387"/>
      <c r="I27" s="403"/>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417"/>
      <c r="AP27" s="418"/>
      <c r="AQ27" s="418"/>
      <c r="AR27" s="418"/>
      <c r="AS27" s="418"/>
      <c r="AT27" s="41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c r="A28" s="75"/>
      <c r="B28" s="289"/>
      <c r="C28" s="289"/>
      <c r="D28" s="290"/>
      <c r="E28" s="388"/>
      <c r="F28" s="387"/>
      <c r="G28" s="387"/>
      <c r="H28" s="387"/>
      <c r="I28" s="403"/>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417"/>
      <c r="AP28" s="418"/>
      <c r="AQ28" s="418"/>
      <c r="AR28" s="418"/>
      <c r="AS28" s="418"/>
      <c r="AT28" s="41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c r="A29" s="75"/>
      <c r="B29" s="289"/>
      <c r="C29" s="289"/>
      <c r="D29" s="290"/>
      <c r="E29" s="388"/>
      <c r="F29" s="387"/>
      <c r="G29" s="387"/>
      <c r="H29" s="387"/>
      <c r="I29" s="403"/>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417"/>
      <c r="AP29" s="418"/>
      <c r="AQ29" s="418"/>
      <c r="AR29" s="418"/>
      <c r="AS29" s="418"/>
      <c r="AT29" s="419"/>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c r="A30" s="75"/>
      <c r="B30" s="289"/>
      <c r="C30" s="289"/>
      <c r="D30" s="290"/>
      <c r="E30" s="388"/>
      <c r="F30" s="387"/>
      <c r="G30" s="387"/>
      <c r="H30" s="387"/>
      <c r="I30" s="403"/>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417"/>
      <c r="AP30" s="418"/>
      <c r="AQ30" s="418"/>
      <c r="AR30" s="418"/>
      <c r="AS30" s="418"/>
      <c r="AT30" s="419"/>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c r="A31" s="75"/>
      <c r="B31" s="289"/>
      <c r="C31" s="289"/>
      <c r="D31" s="290"/>
      <c r="E31" s="388"/>
      <c r="F31" s="387"/>
      <c r="G31" s="387"/>
      <c r="H31" s="387"/>
      <c r="I31" s="403"/>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417"/>
      <c r="AP31" s="418"/>
      <c r="AQ31" s="418"/>
      <c r="AR31" s="418"/>
      <c r="AS31" s="418"/>
      <c r="AT31" s="419"/>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c r="A32" s="75"/>
      <c r="B32" s="289"/>
      <c r="C32" s="289"/>
      <c r="D32" s="290"/>
      <c r="E32" s="388"/>
      <c r="F32" s="387"/>
      <c r="G32" s="387"/>
      <c r="H32" s="387"/>
      <c r="I32" s="403"/>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417"/>
      <c r="AP32" s="418"/>
      <c r="AQ32" s="418"/>
      <c r="AR32" s="418"/>
      <c r="AS32" s="418"/>
      <c r="AT32" s="419"/>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c r="A33" s="75"/>
      <c r="B33" s="289"/>
      <c r="C33" s="289"/>
      <c r="D33" s="290"/>
      <c r="E33" s="388"/>
      <c r="F33" s="387"/>
      <c r="G33" s="387"/>
      <c r="H33" s="387"/>
      <c r="I33" s="403"/>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417"/>
      <c r="AP33" s="418"/>
      <c r="AQ33" s="418"/>
      <c r="AR33" s="418"/>
      <c r="AS33" s="418"/>
      <c r="AT33" s="419"/>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c r="A34" s="75"/>
      <c r="B34" s="289"/>
      <c r="C34" s="289"/>
      <c r="D34" s="290"/>
      <c r="E34" s="388"/>
      <c r="F34" s="387"/>
      <c r="G34" s="387"/>
      <c r="H34" s="387"/>
      <c r="I34" s="403"/>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417"/>
      <c r="AP34" s="418"/>
      <c r="AQ34" s="418"/>
      <c r="AR34" s="418"/>
      <c r="AS34" s="418"/>
      <c r="AT34" s="419"/>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c r="A35" s="75"/>
      <c r="B35" s="289"/>
      <c r="C35" s="289"/>
      <c r="D35" s="290"/>
      <c r="E35" s="389"/>
      <c r="F35" s="390"/>
      <c r="G35" s="390"/>
      <c r="H35" s="390"/>
      <c r="I35" s="404"/>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420"/>
      <c r="AP35" s="421"/>
      <c r="AQ35" s="421"/>
      <c r="AR35" s="421"/>
      <c r="AS35" s="421"/>
      <c r="AT35" s="422"/>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c r="A36" s="75"/>
      <c r="B36" s="289"/>
      <c r="C36" s="289"/>
      <c r="D36" s="290"/>
      <c r="E36" s="384" t="s">
        <v>113</v>
      </c>
      <c r="F36" s="385"/>
      <c r="G36" s="385"/>
      <c r="H36" s="385"/>
      <c r="I36" s="385"/>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405" t="s">
        <v>81</v>
      </c>
      <c r="AP36" s="406"/>
      <c r="AQ36" s="406"/>
      <c r="AR36" s="406"/>
      <c r="AS36" s="406"/>
      <c r="AT36" s="407"/>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c r="A37" s="75"/>
      <c r="B37" s="289"/>
      <c r="C37" s="289"/>
      <c r="D37" s="290"/>
      <c r="E37" s="386"/>
      <c r="F37" s="387"/>
      <c r="G37" s="387"/>
      <c r="H37" s="387"/>
      <c r="I37" s="387"/>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R2C1</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408"/>
      <c r="AP37" s="409"/>
      <c r="AQ37" s="409"/>
      <c r="AR37" s="409"/>
      <c r="AS37" s="409"/>
      <c r="AT37" s="410"/>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c r="A38" s="75"/>
      <c r="B38" s="289"/>
      <c r="C38" s="289"/>
      <c r="D38" s="290"/>
      <c r="E38" s="388"/>
      <c r="F38" s="387"/>
      <c r="G38" s="387"/>
      <c r="H38" s="387"/>
      <c r="I38" s="387"/>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408"/>
      <c r="AP38" s="409"/>
      <c r="AQ38" s="409"/>
      <c r="AR38" s="409"/>
      <c r="AS38" s="409"/>
      <c r="AT38" s="410"/>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c r="A39" s="75"/>
      <c r="B39" s="289"/>
      <c r="C39" s="289"/>
      <c r="D39" s="290"/>
      <c r="E39" s="388"/>
      <c r="F39" s="387"/>
      <c r="G39" s="387"/>
      <c r="H39" s="387"/>
      <c r="I39" s="387"/>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408"/>
      <c r="AP39" s="409"/>
      <c r="AQ39" s="409"/>
      <c r="AR39" s="409"/>
      <c r="AS39" s="409"/>
      <c r="AT39" s="410"/>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c r="A40" s="75"/>
      <c r="B40" s="289"/>
      <c r="C40" s="289"/>
      <c r="D40" s="290"/>
      <c r="E40" s="388"/>
      <c r="F40" s="387"/>
      <c r="G40" s="387"/>
      <c r="H40" s="387"/>
      <c r="I40" s="387"/>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408"/>
      <c r="AP40" s="409"/>
      <c r="AQ40" s="409"/>
      <c r="AR40" s="409"/>
      <c r="AS40" s="409"/>
      <c r="AT40" s="410"/>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c r="A41" s="75"/>
      <c r="B41" s="289"/>
      <c r="C41" s="289"/>
      <c r="D41" s="290"/>
      <c r="E41" s="388"/>
      <c r="F41" s="387"/>
      <c r="G41" s="387"/>
      <c r="H41" s="387"/>
      <c r="I41" s="387"/>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408"/>
      <c r="AP41" s="409"/>
      <c r="AQ41" s="409"/>
      <c r="AR41" s="409"/>
      <c r="AS41" s="409"/>
      <c r="AT41" s="410"/>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c r="A42" s="75"/>
      <c r="B42" s="289"/>
      <c r="C42" s="289"/>
      <c r="D42" s="290"/>
      <c r="E42" s="388"/>
      <c r="F42" s="387"/>
      <c r="G42" s="387"/>
      <c r="H42" s="387"/>
      <c r="I42" s="387"/>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408"/>
      <c r="AP42" s="409"/>
      <c r="AQ42" s="409"/>
      <c r="AR42" s="409"/>
      <c r="AS42" s="409"/>
      <c r="AT42" s="410"/>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c r="A43" s="75"/>
      <c r="B43" s="289"/>
      <c r="C43" s="289"/>
      <c r="D43" s="290"/>
      <c r="E43" s="388"/>
      <c r="F43" s="387"/>
      <c r="G43" s="387"/>
      <c r="H43" s="387"/>
      <c r="I43" s="387"/>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408"/>
      <c r="AP43" s="409"/>
      <c r="AQ43" s="409"/>
      <c r="AR43" s="409"/>
      <c r="AS43" s="409"/>
      <c r="AT43" s="410"/>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c r="A44" s="75"/>
      <c r="B44" s="289"/>
      <c r="C44" s="289"/>
      <c r="D44" s="290"/>
      <c r="E44" s="388"/>
      <c r="F44" s="387"/>
      <c r="G44" s="387"/>
      <c r="H44" s="387"/>
      <c r="I44" s="387"/>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408"/>
      <c r="AP44" s="409"/>
      <c r="AQ44" s="409"/>
      <c r="AR44" s="409"/>
      <c r="AS44" s="409"/>
      <c r="AT44" s="410"/>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c r="A45" s="75"/>
      <c r="B45" s="289"/>
      <c r="C45" s="289"/>
      <c r="D45" s="290"/>
      <c r="E45" s="389"/>
      <c r="F45" s="390"/>
      <c r="G45" s="390"/>
      <c r="H45" s="390"/>
      <c r="I45" s="390"/>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411"/>
      <c r="AP45" s="412"/>
      <c r="AQ45" s="412"/>
      <c r="AR45" s="412"/>
      <c r="AS45" s="412"/>
      <c r="AT45" s="413"/>
    </row>
    <row r="46" spans="1:80" ht="46.5" customHeight="1">
      <c r="A46" s="75"/>
      <c r="B46" s="289"/>
      <c r="C46" s="289"/>
      <c r="D46" s="290"/>
      <c r="E46" s="384" t="s">
        <v>112</v>
      </c>
      <c r="F46" s="385"/>
      <c r="G46" s="385"/>
      <c r="H46" s="385"/>
      <c r="I46" s="402"/>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c r="A47" s="75"/>
      <c r="B47" s="289"/>
      <c r="C47" s="289"/>
      <c r="D47" s="290"/>
      <c r="E47" s="386"/>
      <c r="F47" s="387"/>
      <c r="G47" s="387"/>
      <c r="H47" s="387"/>
      <c r="I47" s="403"/>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R2C2</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c r="A48" s="75"/>
      <c r="B48" s="289"/>
      <c r="C48" s="289"/>
      <c r="D48" s="290"/>
      <c r="E48" s="386"/>
      <c r="F48" s="387"/>
      <c r="G48" s="387"/>
      <c r="H48" s="387"/>
      <c r="I48" s="403"/>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c r="A49" s="75"/>
      <c r="B49" s="289"/>
      <c r="C49" s="289"/>
      <c r="D49" s="290"/>
      <c r="E49" s="388"/>
      <c r="F49" s="387"/>
      <c r="G49" s="387"/>
      <c r="H49" s="387"/>
      <c r="I49" s="403"/>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c r="A50" s="75"/>
      <c r="B50" s="289"/>
      <c r="C50" s="289"/>
      <c r="D50" s="290"/>
      <c r="E50" s="388"/>
      <c r="F50" s="387"/>
      <c r="G50" s="387"/>
      <c r="H50" s="387"/>
      <c r="I50" s="403"/>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c r="A51" s="75"/>
      <c r="B51" s="289"/>
      <c r="C51" s="289"/>
      <c r="D51" s="290"/>
      <c r="E51" s="388"/>
      <c r="F51" s="387"/>
      <c r="G51" s="387"/>
      <c r="H51" s="387"/>
      <c r="I51" s="403"/>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c r="A52" s="75"/>
      <c r="B52" s="289"/>
      <c r="C52" s="289"/>
      <c r="D52" s="290"/>
      <c r="E52" s="388"/>
      <c r="F52" s="387"/>
      <c r="G52" s="387"/>
      <c r="H52" s="387"/>
      <c r="I52" s="403"/>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c r="A53" s="75"/>
      <c r="B53" s="289"/>
      <c r="C53" s="289"/>
      <c r="D53" s="290"/>
      <c r="E53" s="388"/>
      <c r="F53" s="387"/>
      <c r="G53" s="387"/>
      <c r="H53" s="387"/>
      <c r="I53" s="403"/>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c r="A54" s="75"/>
      <c r="B54" s="289"/>
      <c r="C54" s="289"/>
      <c r="D54" s="290"/>
      <c r="E54" s="388"/>
      <c r="F54" s="387"/>
      <c r="G54" s="387"/>
      <c r="H54" s="387"/>
      <c r="I54" s="403"/>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c r="A55" s="75"/>
      <c r="B55" s="289"/>
      <c r="C55" s="289"/>
      <c r="D55" s="290"/>
      <c r="E55" s="389"/>
      <c r="F55" s="390"/>
      <c r="G55" s="390"/>
      <c r="H55" s="390"/>
      <c r="I55" s="404"/>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c r="A56" s="75"/>
      <c r="B56" s="75"/>
      <c r="C56" s="75"/>
      <c r="D56" s="75"/>
      <c r="E56" s="75"/>
      <c r="F56" s="75"/>
      <c r="G56" s="75"/>
      <c r="H56" s="75"/>
      <c r="I56" s="75"/>
      <c r="J56" s="384" t="s">
        <v>111</v>
      </c>
      <c r="K56" s="385"/>
      <c r="L56" s="385"/>
      <c r="M56" s="385"/>
      <c r="N56" s="385"/>
      <c r="O56" s="402"/>
      <c r="P56" s="384" t="s">
        <v>110</v>
      </c>
      <c r="Q56" s="385"/>
      <c r="R56" s="385"/>
      <c r="S56" s="385"/>
      <c r="T56" s="385"/>
      <c r="U56" s="402"/>
      <c r="V56" s="384" t="s">
        <v>109</v>
      </c>
      <c r="W56" s="385"/>
      <c r="X56" s="385"/>
      <c r="Y56" s="385"/>
      <c r="Z56" s="385"/>
      <c r="AA56" s="402"/>
      <c r="AB56" s="384" t="s">
        <v>108</v>
      </c>
      <c r="AC56" s="423"/>
      <c r="AD56" s="385"/>
      <c r="AE56" s="385"/>
      <c r="AF56" s="385"/>
      <c r="AG56" s="402"/>
      <c r="AH56" s="384" t="s">
        <v>107</v>
      </c>
      <c r="AI56" s="385"/>
      <c r="AJ56" s="385"/>
      <c r="AK56" s="385"/>
      <c r="AL56" s="385"/>
      <c r="AM56" s="402"/>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c r="A57" s="75"/>
      <c r="B57" s="75"/>
      <c r="C57" s="75"/>
      <c r="D57" s="75"/>
      <c r="E57" s="75"/>
      <c r="F57" s="75"/>
      <c r="G57" s="75"/>
      <c r="H57" s="75"/>
      <c r="I57" s="75"/>
      <c r="J57" s="388"/>
      <c r="K57" s="387"/>
      <c r="L57" s="387"/>
      <c r="M57" s="387"/>
      <c r="N57" s="387"/>
      <c r="O57" s="403"/>
      <c r="P57" s="388"/>
      <c r="Q57" s="387"/>
      <c r="R57" s="387"/>
      <c r="S57" s="387"/>
      <c r="T57" s="387"/>
      <c r="U57" s="403"/>
      <c r="V57" s="388"/>
      <c r="W57" s="387"/>
      <c r="X57" s="387"/>
      <c r="Y57" s="387"/>
      <c r="Z57" s="387"/>
      <c r="AA57" s="403"/>
      <c r="AB57" s="388"/>
      <c r="AC57" s="387"/>
      <c r="AD57" s="387"/>
      <c r="AE57" s="387"/>
      <c r="AF57" s="387"/>
      <c r="AG57" s="403"/>
      <c r="AH57" s="388"/>
      <c r="AI57" s="387"/>
      <c r="AJ57" s="387"/>
      <c r="AK57" s="387"/>
      <c r="AL57" s="387"/>
      <c r="AM57" s="403"/>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c r="A58" s="75"/>
      <c r="B58" s="75"/>
      <c r="C58" s="75"/>
      <c r="D58" s="75"/>
      <c r="E58" s="75"/>
      <c r="F58" s="75"/>
      <c r="G58" s="75"/>
      <c r="H58" s="75"/>
      <c r="I58" s="75"/>
      <c r="J58" s="388"/>
      <c r="K58" s="387"/>
      <c r="L58" s="387"/>
      <c r="M58" s="387"/>
      <c r="N58" s="387"/>
      <c r="O58" s="403"/>
      <c r="P58" s="388"/>
      <c r="Q58" s="387"/>
      <c r="R58" s="387"/>
      <c r="S58" s="387"/>
      <c r="T58" s="387"/>
      <c r="U58" s="403"/>
      <c r="V58" s="388"/>
      <c r="W58" s="387"/>
      <c r="X58" s="387"/>
      <c r="Y58" s="387"/>
      <c r="Z58" s="387"/>
      <c r="AA58" s="403"/>
      <c r="AB58" s="388"/>
      <c r="AC58" s="387"/>
      <c r="AD58" s="387"/>
      <c r="AE58" s="387"/>
      <c r="AF58" s="387"/>
      <c r="AG58" s="403"/>
      <c r="AH58" s="388"/>
      <c r="AI58" s="387"/>
      <c r="AJ58" s="387"/>
      <c r="AK58" s="387"/>
      <c r="AL58" s="387"/>
      <c r="AM58" s="403"/>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c r="A59" s="75"/>
      <c r="B59" s="75"/>
      <c r="C59" s="75"/>
      <c r="D59" s="75"/>
      <c r="E59" s="75"/>
      <c r="F59" s="75"/>
      <c r="G59" s="75"/>
      <c r="H59" s="75"/>
      <c r="I59" s="75"/>
      <c r="J59" s="388"/>
      <c r="K59" s="387"/>
      <c r="L59" s="387"/>
      <c r="M59" s="387"/>
      <c r="N59" s="387"/>
      <c r="O59" s="403"/>
      <c r="P59" s="388"/>
      <c r="Q59" s="387"/>
      <c r="R59" s="387"/>
      <c r="S59" s="387"/>
      <c r="T59" s="387"/>
      <c r="U59" s="403"/>
      <c r="V59" s="388"/>
      <c r="W59" s="387"/>
      <c r="X59" s="387"/>
      <c r="Y59" s="387"/>
      <c r="Z59" s="387"/>
      <c r="AA59" s="403"/>
      <c r="AB59" s="388"/>
      <c r="AC59" s="387"/>
      <c r="AD59" s="387"/>
      <c r="AE59" s="387"/>
      <c r="AF59" s="387"/>
      <c r="AG59" s="403"/>
      <c r="AH59" s="388"/>
      <c r="AI59" s="387"/>
      <c r="AJ59" s="387"/>
      <c r="AK59" s="387"/>
      <c r="AL59" s="387"/>
      <c r="AM59" s="403"/>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c r="A60" s="75"/>
      <c r="B60" s="75"/>
      <c r="C60" s="75"/>
      <c r="D60" s="75"/>
      <c r="E60" s="75"/>
      <c r="F60" s="75"/>
      <c r="G60" s="75"/>
      <c r="H60" s="75"/>
      <c r="I60" s="75"/>
      <c r="J60" s="388"/>
      <c r="K60" s="387"/>
      <c r="L60" s="387"/>
      <c r="M60" s="387"/>
      <c r="N60" s="387"/>
      <c r="O60" s="403"/>
      <c r="P60" s="388"/>
      <c r="Q60" s="387"/>
      <c r="R60" s="387"/>
      <c r="S60" s="387"/>
      <c r="T60" s="387"/>
      <c r="U60" s="403"/>
      <c r="V60" s="388"/>
      <c r="W60" s="387"/>
      <c r="X60" s="387"/>
      <c r="Y60" s="387"/>
      <c r="Z60" s="387"/>
      <c r="AA60" s="403"/>
      <c r="AB60" s="388"/>
      <c r="AC60" s="387"/>
      <c r="AD60" s="387"/>
      <c r="AE60" s="387"/>
      <c r="AF60" s="387"/>
      <c r="AG60" s="403"/>
      <c r="AH60" s="388"/>
      <c r="AI60" s="387"/>
      <c r="AJ60" s="387"/>
      <c r="AK60" s="387"/>
      <c r="AL60" s="387"/>
      <c r="AM60" s="403"/>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c r="A61" s="75"/>
      <c r="B61" s="75"/>
      <c r="C61" s="75"/>
      <c r="D61" s="75"/>
      <c r="E61" s="75"/>
      <c r="F61" s="75"/>
      <c r="G61" s="75"/>
      <c r="H61" s="75"/>
      <c r="I61" s="75"/>
      <c r="J61" s="389"/>
      <c r="K61" s="390"/>
      <c r="L61" s="390"/>
      <c r="M61" s="390"/>
      <c r="N61" s="390"/>
      <c r="O61" s="404"/>
      <c r="P61" s="389"/>
      <c r="Q61" s="390"/>
      <c r="R61" s="390"/>
      <c r="S61" s="390"/>
      <c r="T61" s="390"/>
      <c r="U61" s="404"/>
      <c r="V61" s="389"/>
      <c r="W61" s="390"/>
      <c r="X61" s="390"/>
      <c r="Y61" s="390"/>
      <c r="Z61" s="390"/>
      <c r="AA61" s="404"/>
      <c r="AB61" s="389"/>
      <c r="AC61" s="390"/>
      <c r="AD61" s="390"/>
      <c r="AE61" s="390"/>
      <c r="AF61" s="390"/>
      <c r="AG61" s="404"/>
      <c r="AH61" s="389"/>
      <c r="AI61" s="390"/>
      <c r="AJ61" s="390"/>
      <c r="AK61" s="390"/>
      <c r="AL61" s="390"/>
      <c r="AM61" s="404"/>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c r="A245" s="75"/>
    </row>
    <row r="246" spans="1:60">
      <c r="A246" s="75"/>
    </row>
    <row r="247" spans="1:60">
      <c r="A247" s="75"/>
    </row>
    <row r="248" spans="1:60">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cols>
    <col min="2" max="2" width="24.140625" customWidth="1"/>
    <col min="3" max="3" width="70.140625" customWidth="1"/>
    <col min="4" max="4" width="29.7109375" customWidth="1"/>
  </cols>
  <sheetData>
    <row r="1" spans="1:37" ht="23.25">
      <c r="A1" s="75"/>
      <c r="B1" s="424" t="s">
        <v>54</v>
      </c>
      <c r="C1" s="424"/>
      <c r="D1" s="424"/>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c r="A35" s="75"/>
    </row>
    <row r="36" spans="1:31">
      <c r="A36" s="75"/>
    </row>
    <row r="37" spans="1:31">
      <c r="A37" s="75"/>
    </row>
    <row r="38" spans="1:31">
      <c r="A38" s="75"/>
    </row>
    <row r="39" spans="1:31">
      <c r="A39" s="75"/>
    </row>
    <row r="40" spans="1:31">
      <c r="A40" s="75"/>
    </row>
    <row r="41" spans="1:31">
      <c r="A41" s="75"/>
    </row>
    <row r="42" spans="1:31">
      <c r="A42" s="75"/>
    </row>
    <row r="43" spans="1:31">
      <c r="A43" s="75"/>
    </row>
    <row r="44" spans="1:31">
      <c r="A44" s="75"/>
    </row>
    <row r="45" spans="1:31">
      <c r="A45" s="75"/>
    </row>
    <row r="46" spans="1:31">
      <c r="A46" s="75"/>
    </row>
    <row r="47" spans="1:31">
      <c r="A47" s="75"/>
    </row>
    <row r="48" spans="1:31">
      <c r="A48" s="75"/>
    </row>
    <row r="49" spans="1:1">
      <c r="A49" s="75"/>
    </row>
    <row r="50" spans="1:1">
      <c r="A50" s="75"/>
    </row>
    <row r="51" spans="1:1">
      <c r="A51" s="75"/>
    </row>
    <row r="52" spans="1:1">
      <c r="A52" s="75"/>
    </row>
    <row r="53" spans="1:1">
      <c r="A53" s="75"/>
    </row>
    <row r="54" spans="1:1">
      <c r="A54" s="75"/>
    </row>
    <row r="55" spans="1:1">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cols>
    <col min="2" max="2" width="40.42578125" customWidth="1"/>
    <col min="3" max="3" width="74.7109375" customWidth="1"/>
    <col min="4" max="4" width="135" bestFit="1" customWidth="1"/>
    <col min="5" max="5" width="144.7109375" bestFit="1" customWidth="1"/>
  </cols>
  <sheetData>
    <row r="1" spans="1:21" ht="33.75">
      <c r="A1" s="75"/>
      <c r="B1" s="425" t="s">
        <v>62</v>
      </c>
      <c r="C1" s="425"/>
      <c r="D1" s="425"/>
      <c r="E1" s="75"/>
      <c r="F1" s="75"/>
      <c r="G1" s="75"/>
      <c r="H1" s="75"/>
      <c r="I1" s="75"/>
      <c r="J1" s="75"/>
      <c r="K1" s="75"/>
      <c r="L1" s="75"/>
      <c r="M1" s="75"/>
      <c r="N1" s="75"/>
      <c r="O1" s="75"/>
      <c r="P1" s="75"/>
      <c r="Q1" s="75"/>
      <c r="R1" s="75"/>
      <c r="S1" s="75"/>
      <c r="T1" s="75"/>
      <c r="U1" s="75"/>
    </row>
    <row r="2" spans="1:21">
      <c r="A2" s="75"/>
      <c r="B2" s="75"/>
      <c r="C2" s="75"/>
      <c r="D2" s="75"/>
      <c r="E2" s="75"/>
      <c r="F2" s="75"/>
      <c r="G2" s="75"/>
      <c r="H2" s="75"/>
      <c r="I2" s="75"/>
      <c r="J2" s="75"/>
      <c r="K2" s="75"/>
      <c r="L2" s="75"/>
      <c r="M2" s="75"/>
      <c r="N2" s="75"/>
      <c r="O2" s="75"/>
      <c r="P2" s="75"/>
      <c r="Q2" s="75"/>
      <c r="R2" s="75"/>
      <c r="S2" s="75"/>
      <c r="T2" s="75"/>
      <c r="U2" s="75"/>
    </row>
    <row r="3" spans="1:21" ht="30">
      <c r="A3" s="75"/>
      <c r="B3" s="96"/>
      <c r="C3" s="28" t="s">
        <v>55</v>
      </c>
      <c r="D3" s="28" t="s">
        <v>56</v>
      </c>
      <c r="E3" s="75"/>
      <c r="F3" s="75"/>
      <c r="G3" s="75"/>
      <c r="H3" s="75"/>
      <c r="I3" s="75"/>
      <c r="J3" s="75"/>
      <c r="K3" s="75"/>
      <c r="L3" s="75"/>
      <c r="M3" s="75"/>
      <c r="N3" s="75"/>
      <c r="O3" s="75"/>
      <c r="P3" s="75"/>
      <c r="Q3" s="75"/>
      <c r="R3" s="75"/>
      <c r="S3" s="75"/>
      <c r="T3" s="75"/>
      <c r="U3" s="75"/>
    </row>
    <row r="4" spans="1:21" ht="33.7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c r="A5" s="95" t="s">
        <v>83</v>
      </c>
      <c r="B5" s="32" t="s">
        <v>58</v>
      </c>
      <c r="C5" s="37" t="s">
        <v>92</v>
      </c>
      <c r="D5" s="30" t="s">
        <v>97</v>
      </c>
      <c r="E5" s="75"/>
      <c r="F5" s="75"/>
      <c r="G5" s="75"/>
      <c r="H5" s="75"/>
      <c r="I5" s="75"/>
      <c r="J5" s="75"/>
      <c r="K5" s="75"/>
      <c r="L5" s="75"/>
      <c r="M5" s="75"/>
      <c r="N5" s="75"/>
      <c r="O5" s="75"/>
      <c r="P5" s="75"/>
      <c r="Q5" s="75"/>
      <c r="R5" s="75"/>
      <c r="S5" s="75"/>
      <c r="T5" s="75"/>
      <c r="U5" s="75"/>
    </row>
    <row r="6" spans="1:21" ht="67.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c r="A7" s="95" t="s">
        <v>7</v>
      </c>
      <c r="B7" s="34" t="s">
        <v>60</v>
      </c>
      <c r="C7" s="37" t="s">
        <v>94</v>
      </c>
      <c r="D7" s="30" t="s">
        <v>211</v>
      </c>
      <c r="E7" s="75"/>
      <c r="F7" s="75"/>
      <c r="G7" s="75"/>
      <c r="H7" s="75"/>
      <c r="I7" s="75"/>
      <c r="J7" s="75"/>
      <c r="K7" s="75"/>
      <c r="L7" s="75"/>
      <c r="M7" s="75"/>
      <c r="N7" s="75"/>
      <c r="O7" s="75"/>
      <c r="P7" s="75"/>
      <c r="Q7" s="75"/>
      <c r="R7" s="75"/>
      <c r="S7" s="75"/>
      <c r="T7" s="75"/>
      <c r="U7" s="75"/>
    </row>
    <row r="8" spans="1:21" ht="67.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c r="A9" s="95"/>
      <c r="B9" s="95"/>
      <c r="C9" s="97"/>
      <c r="D9" s="97"/>
      <c r="E9" s="75"/>
      <c r="F9" s="75"/>
      <c r="G9" s="75"/>
      <c r="H9" s="75"/>
      <c r="I9" s="75"/>
      <c r="J9" s="75"/>
      <c r="K9" s="75"/>
      <c r="L9" s="75"/>
      <c r="M9" s="75"/>
      <c r="N9" s="75"/>
      <c r="O9" s="75"/>
      <c r="P9" s="75"/>
      <c r="Q9" s="75"/>
      <c r="R9" s="75"/>
      <c r="S9" s="75"/>
      <c r="T9" s="75"/>
      <c r="U9" s="75"/>
    </row>
    <row r="10" spans="1:21" ht="16.5">
      <c r="A10" s="95"/>
      <c r="B10" s="98"/>
      <c r="C10" s="98"/>
      <c r="D10" s="98"/>
      <c r="E10" s="75"/>
      <c r="F10" s="75"/>
      <c r="G10" s="75"/>
      <c r="H10" s="75"/>
      <c r="I10" s="75"/>
      <c r="J10" s="75"/>
      <c r="K10" s="75"/>
      <c r="L10" s="75"/>
      <c r="M10" s="75"/>
      <c r="N10" s="75"/>
      <c r="O10" s="75"/>
      <c r="P10" s="75"/>
      <c r="Q10" s="75"/>
      <c r="R10" s="75"/>
      <c r="S10" s="75"/>
      <c r="T10" s="75"/>
      <c r="U10" s="75"/>
    </row>
    <row r="11" spans="1:21">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c r="A13" s="95"/>
      <c r="B13" s="95"/>
      <c r="C13" s="95" t="s">
        <v>146</v>
      </c>
      <c r="D13" s="95" t="s">
        <v>152</v>
      </c>
      <c r="E13" s="75"/>
      <c r="F13" s="75"/>
      <c r="G13" s="75"/>
      <c r="H13" s="75"/>
      <c r="I13" s="75"/>
      <c r="J13" s="75"/>
      <c r="K13" s="75"/>
      <c r="L13" s="75"/>
      <c r="M13" s="75"/>
      <c r="N13" s="75"/>
      <c r="O13" s="75"/>
      <c r="P13" s="75"/>
      <c r="Q13" s="75"/>
      <c r="R13" s="75"/>
      <c r="S13" s="75"/>
      <c r="T13" s="75"/>
      <c r="U13" s="75"/>
    </row>
    <row r="14" spans="1:21">
      <c r="A14" s="95"/>
      <c r="B14" s="95"/>
      <c r="C14" s="95" t="s">
        <v>148</v>
      </c>
      <c r="D14" s="95" t="s">
        <v>153</v>
      </c>
      <c r="E14" s="75"/>
      <c r="F14" s="75"/>
      <c r="G14" s="75"/>
      <c r="H14" s="75"/>
      <c r="I14" s="75"/>
      <c r="J14" s="75"/>
      <c r="K14" s="75"/>
      <c r="L14" s="75"/>
      <c r="M14" s="75"/>
      <c r="N14" s="75"/>
      <c r="O14" s="75"/>
      <c r="P14" s="75"/>
      <c r="Q14" s="75"/>
      <c r="R14" s="75"/>
      <c r="S14" s="75"/>
      <c r="T14" s="75"/>
      <c r="U14" s="75"/>
    </row>
    <row r="15" spans="1:21">
      <c r="A15" s="95"/>
      <c r="B15" s="95"/>
      <c r="C15" s="95" t="s">
        <v>149</v>
      </c>
      <c r="D15" s="95" t="s">
        <v>154</v>
      </c>
      <c r="E15" s="75"/>
      <c r="F15" s="75"/>
      <c r="G15" s="75"/>
      <c r="H15" s="75"/>
      <c r="I15" s="75"/>
      <c r="J15" s="75"/>
      <c r="K15" s="75"/>
      <c r="L15" s="75"/>
      <c r="M15" s="75"/>
      <c r="N15" s="75"/>
      <c r="O15" s="75"/>
      <c r="P15" s="75"/>
      <c r="Q15" s="75"/>
      <c r="R15" s="75"/>
      <c r="S15" s="75"/>
      <c r="T15" s="75"/>
      <c r="U15" s="75"/>
    </row>
    <row r="16" spans="1:21">
      <c r="A16" s="95"/>
      <c r="B16" s="95"/>
      <c r="C16" s="95"/>
      <c r="D16" s="95"/>
      <c r="E16" s="75"/>
      <c r="F16" s="75"/>
      <c r="G16" s="75"/>
      <c r="H16" s="75"/>
      <c r="I16" s="75"/>
      <c r="J16" s="75"/>
      <c r="K16" s="75"/>
      <c r="L16" s="75"/>
      <c r="M16" s="75"/>
      <c r="N16" s="75"/>
      <c r="O16" s="75"/>
    </row>
    <row r="17" spans="1:15">
      <c r="A17" s="95"/>
      <c r="B17" s="95"/>
      <c r="C17" s="95"/>
      <c r="D17" s="95"/>
      <c r="E17" s="75"/>
      <c r="F17" s="75"/>
      <c r="G17" s="75"/>
      <c r="H17" s="75"/>
      <c r="I17" s="75"/>
      <c r="J17" s="75"/>
      <c r="K17" s="75"/>
      <c r="L17" s="75"/>
      <c r="M17" s="75"/>
      <c r="N17" s="75"/>
      <c r="O17" s="75"/>
    </row>
    <row r="18" spans="1:15">
      <c r="A18" s="95"/>
      <c r="B18" s="99"/>
      <c r="C18" s="99"/>
      <c r="D18" s="99"/>
      <c r="E18" s="75"/>
      <c r="F18" s="75"/>
      <c r="G18" s="75"/>
      <c r="H18" s="75"/>
      <c r="I18" s="75"/>
      <c r="J18" s="75"/>
      <c r="K18" s="75"/>
      <c r="L18" s="75"/>
      <c r="M18" s="75"/>
      <c r="N18" s="75"/>
      <c r="O18" s="75"/>
    </row>
    <row r="19" spans="1:15">
      <c r="A19" s="95"/>
      <c r="B19" s="99"/>
      <c r="C19" s="99"/>
      <c r="D19" s="99"/>
      <c r="E19" s="75"/>
      <c r="F19" s="75"/>
      <c r="G19" s="75"/>
      <c r="H19" s="75"/>
      <c r="I19" s="75"/>
      <c r="J19" s="75"/>
      <c r="K19" s="75"/>
      <c r="L19" s="75"/>
      <c r="M19" s="75"/>
      <c r="N19" s="75"/>
      <c r="O19" s="75"/>
    </row>
    <row r="20" spans="1:15">
      <c r="A20" s="95"/>
      <c r="B20" s="99"/>
      <c r="C20" s="99"/>
      <c r="D20" s="99"/>
      <c r="E20" s="75"/>
      <c r="F20" s="75"/>
      <c r="G20" s="75"/>
      <c r="H20" s="75"/>
      <c r="I20" s="75"/>
      <c r="J20" s="75"/>
      <c r="K20" s="75"/>
      <c r="L20" s="75"/>
      <c r="M20" s="75"/>
      <c r="N20" s="75"/>
      <c r="O20" s="75"/>
    </row>
    <row r="21" spans="1:15">
      <c r="A21" s="95"/>
      <c r="B21" s="99"/>
      <c r="C21" s="99"/>
      <c r="D21" s="99"/>
      <c r="E21" s="75"/>
      <c r="F21" s="75"/>
      <c r="G21" s="75"/>
      <c r="H21" s="75"/>
      <c r="I21" s="75"/>
      <c r="J21" s="75"/>
      <c r="K21" s="75"/>
      <c r="L21" s="75"/>
      <c r="M21" s="75"/>
      <c r="N21" s="75"/>
      <c r="O21" s="75"/>
    </row>
    <row r="22" spans="1:15" ht="20.25">
      <c r="A22" s="95"/>
      <c r="B22" s="95"/>
      <c r="C22" s="97"/>
      <c r="D22" s="97"/>
      <c r="E22" s="75"/>
      <c r="F22" s="75"/>
      <c r="G22" s="75"/>
      <c r="H22" s="75"/>
      <c r="I22" s="75"/>
      <c r="J22" s="75"/>
      <c r="K22" s="75"/>
      <c r="L22" s="75"/>
      <c r="M22" s="75"/>
      <c r="N22" s="75"/>
      <c r="O22" s="75"/>
    </row>
    <row r="23" spans="1:15" ht="20.25">
      <c r="A23" s="95"/>
      <c r="B23" s="95"/>
      <c r="C23" s="97"/>
      <c r="D23" s="97"/>
      <c r="E23" s="75"/>
      <c r="F23" s="75"/>
      <c r="G23" s="75"/>
      <c r="H23" s="75"/>
      <c r="I23" s="75"/>
      <c r="J23" s="75"/>
      <c r="K23" s="75"/>
      <c r="L23" s="75"/>
      <c r="M23" s="75"/>
      <c r="N23" s="75"/>
      <c r="O23" s="75"/>
    </row>
    <row r="24" spans="1:15" ht="20.25">
      <c r="A24" s="95"/>
      <c r="B24" s="95"/>
      <c r="C24" s="97"/>
      <c r="D24" s="97"/>
      <c r="E24" s="75"/>
      <c r="F24" s="75"/>
      <c r="G24" s="75"/>
      <c r="H24" s="75"/>
      <c r="I24" s="75"/>
      <c r="J24" s="75"/>
      <c r="K24" s="75"/>
      <c r="L24" s="75"/>
      <c r="M24" s="75"/>
      <c r="N24" s="75"/>
      <c r="O24" s="75"/>
    </row>
    <row r="25" spans="1:15" ht="20.25">
      <c r="A25" s="95"/>
      <c r="B25" s="95"/>
      <c r="C25" s="97"/>
      <c r="D25" s="97"/>
      <c r="E25" s="75"/>
      <c r="F25" s="75"/>
      <c r="G25" s="75"/>
      <c r="H25" s="75"/>
      <c r="I25" s="75"/>
      <c r="J25" s="75"/>
      <c r="K25" s="75"/>
      <c r="L25" s="75"/>
      <c r="M25" s="75"/>
      <c r="N25" s="75"/>
      <c r="O25" s="75"/>
    </row>
    <row r="26" spans="1:15" ht="20.25">
      <c r="A26" s="95"/>
      <c r="B26" s="95"/>
      <c r="C26" s="97"/>
      <c r="D26" s="97"/>
      <c r="E26" s="75"/>
      <c r="F26" s="75"/>
      <c r="G26" s="75"/>
      <c r="H26" s="75"/>
      <c r="I26" s="75"/>
      <c r="J26" s="75"/>
      <c r="K26" s="75"/>
      <c r="L26" s="75"/>
      <c r="M26" s="75"/>
      <c r="N26" s="75"/>
      <c r="O26" s="75"/>
    </row>
    <row r="27" spans="1:15" ht="20.25">
      <c r="A27" s="95"/>
      <c r="B27" s="95"/>
      <c r="C27" s="97"/>
      <c r="D27" s="97"/>
      <c r="E27" s="75"/>
      <c r="F27" s="75"/>
      <c r="G27" s="75"/>
      <c r="H27" s="75"/>
      <c r="I27" s="75"/>
      <c r="J27" s="75"/>
      <c r="K27" s="75"/>
      <c r="L27" s="75"/>
      <c r="M27" s="75"/>
      <c r="N27" s="75"/>
      <c r="O27" s="75"/>
    </row>
    <row r="28" spans="1:15" ht="20.25">
      <c r="A28" s="95"/>
      <c r="B28" s="95"/>
      <c r="C28" s="97"/>
      <c r="D28" s="97"/>
      <c r="E28" s="75"/>
      <c r="F28" s="75"/>
      <c r="G28" s="75"/>
      <c r="H28" s="75"/>
      <c r="I28" s="75"/>
      <c r="J28" s="75"/>
      <c r="K28" s="75"/>
      <c r="L28" s="75"/>
      <c r="M28" s="75"/>
      <c r="N28" s="75"/>
      <c r="O28" s="75"/>
    </row>
    <row r="29" spans="1:15" ht="20.25">
      <c r="A29" s="95"/>
      <c r="B29" s="95"/>
      <c r="C29" s="97"/>
      <c r="D29" s="97"/>
      <c r="E29" s="75"/>
      <c r="F29" s="75"/>
      <c r="G29" s="75"/>
      <c r="H29" s="75"/>
      <c r="I29" s="75"/>
      <c r="J29" s="75"/>
      <c r="K29" s="75"/>
      <c r="L29" s="75"/>
      <c r="M29" s="75"/>
      <c r="N29" s="75"/>
      <c r="O29" s="75"/>
    </row>
    <row r="30" spans="1:15" ht="20.25">
      <c r="A30" s="95"/>
      <c r="B30" s="95"/>
      <c r="C30" s="97"/>
      <c r="D30" s="97"/>
      <c r="E30" s="75"/>
      <c r="F30" s="75"/>
      <c r="G30" s="75"/>
      <c r="H30" s="75"/>
      <c r="I30" s="75"/>
      <c r="J30" s="75"/>
      <c r="K30" s="75"/>
      <c r="L30" s="75"/>
      <c r="M30" s="75"/>
      <c r="N30" s="75"/>
      <c r="O30" s="75"/>
    </row>
    <row r="31" spans="1:15" ht="20.25">
      <c r="A31" s="95"/>
      <c r="B31" s="95"/>
      <c r="C31" s="97"/>
      <c r="D31" s="97"/>
      <c r="E31" s="75"/>
      <c r="F31" s="75"/>
      <c r="G31" s="75"/>
      <c r="H31" s="75"/>
      <c r="I31" s="75"/>
      <c r="J31" s="75"/>
      <c r="K31" s="75"/>
      <c r="L31" s="75"/>
      <c r="M31" s="75"/>
      <c r="N31" s="75"/>
      <c r="O31" s="75"/>
    </row>
    <row r="32" spans="1:15" ht="20.25">
      <c r="A32" s="95"/>
      <c r="B32" s="95"/>
      <c r="C32" s="97"/>
      <c r="D32" s="97"/>
      <c r="E32" s="75"/>
      <c r="F32" s="75"/>
      <c r="G32" s="75"/>
      <c r="H32" s="75"/>
      <c r="I32" s="75"/>
      <c r="J32" s="75"/>
      <c r="K32" s="75"/>
      <c r="L32" s="75"/>
      <c r="M32" s="75"/>
      <c r="N32" s="75"/>
      <c r="O32" s="75"/>
    </row>
    <row r="33" spans="1:15" ht="20.25">
      <c r="A33" s="95"/>
      <c r="B33" s="95"/>
      <c r="C33" s="97"/>
      <c r="D33" s="97"/>
      <c r="E33" s="75"/>
      <c r="F33" s="75"/>
      <c r="G33" s="75"/>
      <c r="H33" s="75"/>
      <c r="I33" s="75"/>
      <c r="J33" s="75"/>
      <c r="K33" s="75"/>
      <c r="L33" s="75"/>
      <c r="M33" s="75"/>
      <c r="N33" s="75"/>
      <c r="O33" s="75"/>
    </row>
    <row r="34" spans="1:15" ht="20.25">
      <c r="A34" s="95"/>
      <c r="B34" s="95"/>
      <c r="C34" s="97"/>
      <c r="D34" s="97"/>
      <c r="E34" s="75"/>
      <c r="F34" s="75"/>
      <c r="G34" s="75"/>
      <c r="H34" s="75"/>
      <c r="I34" s="75"/>
      <c r="J34" s="75"/>
      <c r="K34" s="75"/>
      <c r="L34" s="75"/>
      <c r="M34" s="75"/>
      <c r="N34" s="75"/>
      <c r="O34" s="75"/>
    </row>
    <row r="35" spans="1:15" ht="20.25">
      <c r="A35" s="95"/>
      <c r="B35" s="95"/>
      <c r="C35" s="97"/>
      <c r="D35" s="97"/>
      <c r="E35" s="75"/>
      <c r="F35" s="75"/>
      <c r="G35" s="75"/>
      <c r="H35" s="75"/>
      <c r="I35" s="75"/>
      <c r="J35" s="75"/>
      <c r="K35" s="75"/>
      <c r="L35" s="75"/>
      <c r="M35" s="75"/>
      <c r="N35" s="75"/>
      <c r="O35" s="75"/>
    </row>
    <row r="36" spans="1:15" ht="20.25">
      <c r="A36" s="95"/>
      <c r="B36" s="95"/>
      <c r="C36" s="97"/>
      <c r="D36" s="97"/>
      <c r="E36" s="75"/>
      <c r="F36" s="75"/>
      <c r="G36" s="75"/>
      <c r="H36" s="75"/>
      <c r="I36" s="75"/>
      <c r="J36" s="75"/>
      <c r="K36" s="75"/>
      <c r="L36" s="75"/>
      <c r="M36" s="75"/>
      <c r="N36" s="75"/>
      <c r="O36" s="75"/>
    </row>
    <row r="37" spans="1:15" ht="20.25">
      <c r="A37" s="95"/>
      <c r="B37" s="95"/>
      <c r="C37" s="97"/>
      <c r="D37" s="97"/>
      <c r="E37" s="75"/>
      <c r="F37" s="75"/>
      <c r="G37" s="75"/>
      <c r="H37" s="75"/>
      <c r="I37" s="75"/>
      <c r="J37" s="75"/>
      <c r="K37" s="75"/>
      <c r="L37" s="75"/>
      <c r="M37" s="75"/>
      <c r="N37" s="75"/>
      <c r="O37" s="75"/>
    </row>
    <row r="38" spans="1:15" ht="20.25">
      <c r="A38" s="95"/>
      <c r="B38" s="95"/>
      <c r="C38" s="97"/>
      <c r="D38" s="97"/>
      <c r="E38" s="75"/>
      <c r="F38" s="75"/>
      <c r="G38" s="75"/>
      <c r="H38" s="75"/>
      <c r="I38" s="75"/>
      <c r="J38" s="75"/>
      <c r="K38" s="75"/>
      <c r="L38" s="75"/>
      <c r="M38" s="75"/>
      <c r="N38" s="75"/>
      <c r="O38" s="75"/>
    </row>
    <row r="39" spans="1:15" ht="20.25">
      <c r="A39" s="95"/>
      <c r="B39" s="95"/>
      <c r="C39" s="97"/>
      <c r="D39" s="97"/>
      <c r="E39" s="75"/>
      <c r="F39" s="75"/>
      <c r="G39" s="75"/>
      <c r="H39" s="75"/>
      <c r="I39" s="75"/>
      <c r="J39" s="75"/>
      <c r="K39" s="75"/>
      <c r="L39" s="75"/>
      <c r="M39" s="75"/>
      <c r="N39" s="75"/>
      <c r="O39" s="75"/>
    </row>
    <row r="40" spans="1:15" ht="20.25">
      <c r="A40" s="95"/>
      <c r="B40" s="95"/>
      <c r="C40" s="97"/>
      <c r="D40" s="97"/>
      <c r="E40" s="75"/>
      <c r="F40" s="75"/>
      <c r="G40" s="75"/>
      <c r="H40" s="75"/>
      <c r="I40" s="75"/>
      <c r="J40" s="75"/>
      <c r="K40" s="75"/>
      <c r="L40" s="75"/>
      <c r="M40" s="75"/>
      <c r="N40" s="75"/>
      <c r="O40" s="75"/>
    </row>
    <row r="41" spans="1:15" ht="20.25">
      <c r="A41" s="95"/>
      <c r="B41" s="95"/>
      <c r="C41" s="97"/>
      <c r="D41" s="97"/>
      <c r="E41" s="75"/>
      <c r="F41" s="75"/>
      <c r="G41" s="75"/>
      <c r="H41" s="75"/>
      <c r="I41" s="75"/>
      <c r="J41" s="75"/>
      <c r="K41" s="75"/>
      <c r="L41" s="75"/>
      <c r="M41" s="75"/>
      <c r="N41" s="75"/>
      <c r="O41" s="75"/>
    </row>
    <row r="42" spans="1:15" ht="20.25">
      <c r="A42" s="95"/>
      <c r="B42" s="95"/>
      <c r="C42" s="97"/>
      <c r="D42" s="97"/>
      <c r="E42" s="75"/>
      <c r="F42" s="75"/>
      <c r="G42" s="75"/>
      <c r="H42" s="75"/>
      <c r="I42" s="75"/>
      <c r="J42" s="75"/>
      <c r="K42" s="75"/>
      <c r="L42" s="75"/>
      <c r="M42" s="75"/>
      <c r="N42" s="75"/>
      <c r="O42" s="75"/>
    </row>
    <row r="43" spans="1:15" ht="20.25">
      <c r="A43" s="95"/>
      <c r="B43" s="95"/>
      <c r="C43" s="97"/>
      <c r="D43" s="97"/>
      <c r="E43" s="75"/>
      <c r="F43" s="75"/>
      <c r="G43" s="75"/>
      <c r="H43" s="75"/>
      <c r="I43" s="75"/>
      <c r="J43" s="75"/>
      <c r="K43" s="75"/>
      <c r="L43" s="75"/>
      <c r="M43" s="75"/>
      <c r="N43" s="75"/>
      <c r="O43" s="75"/>
    </row>
    <row r="44" spans="1:15" ht="20.25">
      <c r="A44" s="95"/>
      <c r="B44" s="95"/>
      <c r="C44" s="97"/>
      <c r="D44" s="97"/>
      <c r="E44" s="75"/>
      <c r="F44" s="75"/>
      <c r="G44" s="75"/>
      <c r="H44" s="75"/>
      <c r="I44" s="75"/>
      <c r="J44" s="75"/>
      <c r="K44" s="75"/>
      <c r="L44" s="75"/>
      <c r="M44" s="75"/>
      <c r="N44" s="75"/>
      <c r="O44" s="75"/>
    </row>
    <row r="45" spans="1:15" ht="20.25">
      <c r="A45" s="95"/>
      <c r="B45" s="95"/>
      <c r="C45" s="97"/>
      <c r="D45" s="97"/>
      <c r="E45" s="75"/>
      <c r="F45" s="75"/>
      <c r="G45" s="75"/>
      <c r="H45" s="75"/>
      <c r="I45" s="75"/>
      <c r="J45" s="75"/>
      <c r="K45" s="75"/>
      <c r="L45" s="75"/>
      <c r="M45" s="75"/>
      <c r="N45" s="75"/>
      <c r="O45" s="75"/>
    </row>
    <row r="46" spans="1:15" ht="20.25">
      <c r="A46" s="95"/>
      <c r="B46" s="95"/>
      <c r="C46" s="97"/>
      <c r="D46" s="97"/>
      <c r="E46" s="75"/>
      <c r="F46" s="75"/>
      <c r="G46" s="75"/>
      <c r="H46" s="75"/>
      <c r="I46" s="75"/>
      <c r="J46" s="75"/>
      <c r="K46" s="75"/>
      <c r="L46" s="75"/>
      <c r="M46" s="75"/>
      <c r="N46" s="75"/>
      <c r="O46" s="75"/>
    </row>
    <row r="47" spans="1:15" ht="20.25">
      <c r="A47" s="95"/>
      <c r="B47" s="95"/>
      <c r="C47" s="97"/>
      <c r="D47" s="97"/>
      <c r="E47" s="75"/>
      <c r="F47" s="75"/>
      <c r="G47" s="75"/>
      <c r="H47" s="75"/>
      <c r="I47" s="75"/>
      <c r="J47" s="75"/>
      <c r="K47" s="75"/>
      <c r="L47" s="75"/>
      <c r="M47" s="75"/>
      <c r="N47" s="75"/>
      <c r="O47" s="75"/>
    </row>
    <row r="48" spans="1:15" ht="20.25">
      <c r="A48" s="95"/>
      <c r="B48" s="95"/>
      <c r="C48" s="97"/>
      <c r="D48" s="97"/>
      <c r="E48" s="75"/>
      <c r="F48" s="75"/>
      <c r="G48" s="75"/>
      <c r="H48" s="75"/>
      <c r="I48" s="75"/>
      <c r="J48" s="75"/>
      <c r="K48" s="75"/>
      <c r="L48" s="75"/>
      <c r="M48" s="75"/>
      <c r="N48" s="75"/>
      <c r="O48" s="75"/>
    </row>
    <row r="49" spans="1:15" ht="20.25">
      <c r="A49" s="95"/>
      <c r="B49" s="95"/>
      <c r="C49" s="97"/>
      <c r="D49" s="97"/>
      <c r="E49" s="75"/>
      <c r="F49" s="75"/>
      <c r="G49" s="75"/>
      <c r="H49" s="75"/>
      <c r="I49" s="75"/>
      <c r="J49" s="75"/>
      <c r="K49" s="75"/>
      <c r="L49" s="75"/>
      <c r="M49" s="75"/>
      <c r="N49" s="75"/>
      <c r="O49" s="75"/>
    </row>
    <row r="50" spans="1:15" ht="20.25">
      <c r="A50" s="95"/>
      <c r="B50" s="95"/>
      <c r="C50" s="97"/>
      <c r="D50" s="97"/>
      <c r="E50" s="75"/>
      <c r="F50" s="75"/>
      <c r="G50" s="75"/>
      <c r="H50" s="75"/>
      <c r="I50" s="75"/>
      <c r="J50" s="75"/>
      <c r="K50" s="75"/>
      <c r="L50" s="75"/>
      <c r="M50" s="75"/>
      <c r="N50" s="75"/>
      <c r="O50" s="75"/>
    </row>
    <row r="51" spans="1:15" ht="20.25">
      <c r="A51" s="95"/>
      <c r="B51" s="95"/>
      <c r="C51" s="97"/>
      <c r="D51" s="97"/>
      <c r="E51" s="75"/>
      <c r="F51" s="75"/>
      <c r="G51" s="75"/>
      <c r="H51" s="75"/>
      <c r="I51" s="75"/>
      <c r="J51" s="75"/>
      <c r="K51" s="75"/>
      <c r="L51" s="75"/>
      <c r="M51" s="75"/>
      <c r="N51" s="75"/>
      <c r="O51" s="75"/>
    </row>
    <row r="52" spans="1:15" ht="20.25">
      <c r="A52" s="95"/>
      <c r="B52" s="20"/>
      <c r="C52" s="26"/>
      <c r="D52" s="26"/>
    </row>
    <row r="53" spans="1:15" ht="20.25">
      <c r="A53" s="95"/>
      <c r="B53" s="20"/>
      <c r="C53" s="26"/>
      <c r="D53" s="26"/>
    </row>
    <row r="54" spans="1:15" ht="20.25">
      <c r="A54" s="95"/>
      <c r="B54" s="20"/>
      <c r="C54" s="26"/>
      <c r="D54" s="26"/>
    </row>
    <row r="55" spans="1:15" ht="20.25">
      <c r="A55" s="95"/>
      <c r="B55" s="20"/>
      <c r="C55" s="26"/>
      <c r="D55" s="26"/>
    </row>
    <row r="56" spans="1:15" ht="20.25">
      <c r="A56" s="95"/>
      <c r="B56" s="20"/>
      <c r="C56" s="26"/>
      <c r="D56" s="26"/>
    </row>
    <row r="57" spans="1:15" ht="20.25">
      <c r="A57" s="95"/>
      <c r="B57" s="20"/>
      <c r="C57" s="26"/>
      <c r="D57" s="26"/>
    </row>
    <row r="58" spans="1:15" ht="20.25">
      <c r="A58" s="95"/>
      <c r="B58" s="20"/>
      <c r="C58" s="26"/>
      <c r="D58" s="26"/>
    </row>
    <row r="59" spans="1:15" ht="20.25">
      <c r="A59" s="95"/>
      <c r="B59" s="20"/>
      <c r="C59" s="26"/>
      <c r="D59" s="26"/>
    </row>
    <row r="60" spans="1:15" ht="20.25">
      <c r="A60" s="95"/>
      <c r="B60" s="20"/>
      <c r="C60" s="26"/>
      <c r="D60" s="26"/>
    </row>
    <row r="61" spans="1:15" ht="20.25">
      <c r="A61" s="95"/>
      <c r="B61" s="20"/>
      <c r="C61" s="26"/>
      <c r="D61" s="26"/>
    </row>
    <row r="62" spans="1:15" ht="20.25">
      <c r="A62" s="95"/>
      <c r="B62" s="20"/>
      <c r="C62" s="26"/>
      <c r="D62" s="26"/>
    </row>
    <row r="63" spans="1:15" ht="20.25">
      <c r="A63" s="95"/>
      <c r="B63" s="20"/>
      <c r="C63" s="26"/>
      <c r="D63" s="26"/>
    </row>
    <row r="64" spans="1:15" ht="20.25">
      <c r="A64" s="95"/>
      <c r="B64" s="20"/>
      <c r="C64" s="26"/>
      <c r="D64" s="26"/>
    </row>
    <row r="65" spans="1:4" ht="20.25">
      <c r="A65" s="95"/>
      <c r="B65" s="20"/>
      <c r="C65" s="26"/>
      <c r="D65" s="26"/>
    </row>
    <row r="66" spans="1:4" ht="20.25">
      <c r="A66" s="95"/>
      <c r="B66" s="20"/>
      <c r="C66" s="26"/>
      <c r="D66" s="26"/>
    </row>
    <row r="67" spans="1:4" ht="20.25">
      <c r="A67" s="95"/>
      <c r="B67" s="20"/>
      <c r="C67" s="26"/>
      <c r="D67" s="26"/>
    </row>
    <row r="68" spans="1:4" ht="20.25">
      <c r="A68" s="95"/>
      <c r="B68" s="20"/>
      <c r="C68" s="26"/>
      <c r="D68" s="26"/>
    </row>
    <row r="69" spans="1:4" ht="20.25">
      <c r="A69" s="95"/>
      <c r="B69" s="20"/>
      <c r="C69" s="26"/>
      <c r="D69" s="26"/>
    </row>
    <row r="70" spans="1:4" ht="20.25">
      <c r="A70" s="95"/>
      <c r="B70" s="20"/>
      <c r="C70" s="26"/>
      <c r="D70" s="26"/>
    </row>
    <row r="71" spans="1:4" ht="20.25">
      <c r="A71" s="95"/>
      <c r="B71" s="20"/>
      <c r="C71" s="26"/>
      <c r="D71" s="26"/>
    </row>
    <row r="72" spans="1:4" ht="20.25">
      <c r="A72" s="95"/>
      <c r="B72" s="20"/>
      <c r="C72" s="26"/>
      <c r="D72" s="26"/>
    </row>
    <row r="73" spans="1:4" ht="20.25">
      <c r="A73" s="95"/>
      <c r="B73" s="20"/>
      <c r="C73" s="26"/>
      <c r="D73" s="26"/>
    </row>
    <row r="74" spans="1:4" ht="20.25">
      <c r="A74" s="95"/>
      <c r="B74" s="20"/>
      <c r="C74" s="26"/>
      <c r="D74" s="26"/>
    </row>
    <row r="75" spans="1:4" ht="20.25">
      <c r="A75" s="95"/>
      <c r="B75" s="20"/>
      <c r="C75" s="26"/>
      <c r="D75" s="26"/>
    </row>
    <row r="76" spans="1:4" ht="20.25">
      <c r="A76" s="95"/>
      <c r="B76" s="20"/>
      <c r="C76" s="26"/>
      <c r="D76" s="26"/>
    </row>
    <row r="77" spans="1:4" ht="20.25">
      <c r="A77" s="95"/>
      <c r="B77" s="20"/>
      <c r="C77" s="26"/>
      <c r="D77" s="26"/>
    </row>
    <row r="78" spans="1:4" ht="20.25">
      <c r="A78" s="95"/>
      <c r="B78" s="20"/>
      <c r="C78" s="26"/>
      <c r="D78" s="26"/>
    </row>
    <row r="79" spans="1:4" ht="20.25">
      <c r="A79" s="95"/>
      <c r="B79" s="20"/>
      <c r="C79" s="26"/>
      <c r="D79" s="26"/>
    </row>
    <row r="80" spans="1:4" ht="20.25">
      <c r="A80" s="95"/>
      <c r="B80" s="20"/>
      <c r="C80" s="26"/>
      <c r="D80" s="26"/>
    </row>
    <row r="81" spans="1:4" ht="20.25">
      <c r="A81" s="95"/>
      <c r="B81" s="20"/>
      <c r="C81" s="26"/>
      <c r="D81" s="26"/>
    </row>
    <row r="82" spans="1:4" ht="20.25">
      <c r="A82" s="95"/>
      <c r="B82" s="20"/>
      <c r="C82" s="26"/>
      <c r="D82" s="26"/>
    </row>
    <row r="83" spans="1:4" ht="20.25">
      <c r="A83" s="95"/>
      <c r="B83" s="20"/>
      <c r="C83" s="26"/>
      <c r="D83" s="26"/>
    </row>
    <row r="84" spans="1:4" ht="20.25">
      <c r="A84" s="95"/>
      <c r="B84" s="20"/>
      <c r="C84" s="26"/>
      <c r="D84" s="26"/>
    </row>
    <row r="85" spans="1:4" ht="20.25">
      <c r="A85" s="95"/>
      <c r="B85" s="20"/>
      <c r="C85" s="26"/>
      <c r="D85" s="26"/>
    </row>
    <row r="86" spans="1:4" ht="20.25">
      <c r="A86" s="95"/>
      <c r="B86" s="20"/>
      <c r="C86" s="26"/>
      <c r="D86" s="26"/>
    </row>
    <row r="87" spans="1:4" ht="20.25">
      <c r="A87" s="95"/>
      <c r="B87" s="20"/>
      <c r="C87" s="26"/>
      <c r="D87" s="26"/>
    </row>
    <row r="88" spans="1:4" ht="20.25">
      <c r="A88" s="95"/>
      <c r="B88" s="20"/>
      <c r="C88" s="26"/>
      <c r="D88" s="26"/>
    </row>
    <row r="89" spans="1:4" ht="20.25">
      <c r="A89" s="95"/>
      <c r="B89" s="20"/>
      <c r="C89" s="26"/>
      <c r="D89" s="26"/>
    </row>
    <row r="90" spans="1:4" ht="20.25">
      <c r="A90" s="95"/>
      <c r="B90" s="20"/>
      <c r="C90" s="26"/>
      <c r="D90" s="26"/>
    </row>
    <row r="91" spans="1:4" ht="20.25">
      <c r="A91" s="95"/>
      <c r="B91" s="20"/>
      <c r="C91" s="26"/>
      <c r="D91" s="26"/>
    </row>
    <row r="92" spans="1:4" ht="20.25">
      <c r="A92" s="95"/>
      <c r="B92" s="20"/>
      <c r="C92" s="26"/>
      <c r="D92" s="26"/>
    </row>
    <row r="93" spans="1:4" ht="20.25">
      <c r="A93" s="95"/>
      <c r="B93" s="20"/>
      <c r="C93" s="26"/>
      <c r="D93" s="26"/>
    </row>
    <row r="94" spans="1:4" ht="20.25">
      <c r="A94" s="95"/>
      <c r="B94" s="20"/>
      <c r="C94" s="26"/>
      <c r="D94" s="26"/>
    </row>
    <row r="95" spans="1:4" ht="20.25">
      <c r="A95" s="95"/>
      <c r="B95" s="20"/>
      <c r="C95" s="26"/>
      <c r="D95" s="26"/>
    </row>
    <row r="96" spans="1:4" ht="20.25">
      <c r="A96" s="95"/>
      <c r="B96" s="20"/>
      <c r="C96" s="26"/>
      <c r="D96" s="26"/>
    </row>
    <row r="97" spans="1:4" ht="20.25">
      <c r="A97" s="95"/>
      <c r="B97" s="20"/>
      <c r="C97" s="26"/>
      <c r="D97" s="26"/>
    </row>
    <row r="98" spans="1:4" ht="20.25">
      <c r="A98" s="95"/>
      <c r="B98" s="20"/>
      <c r="C98" s="26"/>
      <c r="D98" s="26"/>
    </row>
    <row r="99" spans="1:4" ht="20.25">
      <c r="A99" s="95"/>
      <c r="B99" s="20"/>
      <c r="C99" s="26"/>
      <c r="D99" s="26"/>
    </row>
    <row r="100" spans="1:4" ht="20.25">
      <c r="A100" s="95"/>
      <c r="B100" s="20"/>
      <c r="C100" s="26"/>
      <c r="D100" s="26"/>
    </row>
    <row r="101" spans="1:4" ht="20.25">
      <c r="A101" s="95"/>
      <c r="B101" s="20"/>
      <c r="C101" s="26"/>
      <c r="D101" s="26"/>
    </row>
    <row r="102" spans="1:4" ht="20.25">
      <c r="A102" s="95"/>
      <c r="B102" s="20"/>
      <c r="C102" s="26"/>
      <c r="D102" s="26"/>
    </row>
    <row r="103" spans="1:4" ht="20.25">
      <c r="A103" s="95"/>
      <c r="B103" s="20"/>
      <c r="C103" s="26"/>
      <c r="D103" s="26"/>
    </row>
    <row r="104" spans="1:4" ht="20.25">
      <c r="A104" s="95"/>
      <c r="B104" s="20"/>
      <c r="C104" s="26"/>
      <c r="D104" s="26"/>
    </row>
    <row r="105" spans="1:4" ht="20.25">
      <c r="A105" s="95"/>
      <c r="B105" s="20"/>
      <c r="C105" s="26"/>
      <c r="D105" s="26"/>
    </row>
    <row r="106" spans="1:4" ht="20.25">
      <c r="A106" s="95"/>
      <c r="B106" s="20"/>
      <c r="C106" s="26"/>
      <c r="D106" s="26"/>
    </row>
    <row r="107" spans="1:4" ht="20.25">
      <c r="A107" s="95"/>
      <c r="B107" s="20"/>
      <c r="C107" s="26"/>
      <c r="D107" s="26"/>
    </row>
    <row r="108" spans="1:4" ht="20.25">
      <c r="A108" s="95"/>
      <c r="B108" s="20"/>
      <c r="C108" s="26"/>
      <c r="D108" s="26"/>
    </row>
    <row r="109" spans="1:4" ht="20.25">
      <c r="A109" s="95"/>
      <c r="B109" s="20"/>
      <c r="C109" s="26"/>
      <c r="D109" s="26"/>
    </row>
    <row r="110" spans="1:4" ht="20.25">
      <c r="A110" s="95"/>
      <c r="B110" s="20"/>
      <c r="C110" s="26"/>
      <c r="D110" s="26"/>
    </row>
    <row r="111" spans="1:4" ht="20.25">
      <c r="A111" s="95"/>
      <c r="B111" s="20"/>
      <c r="C111" s="26"/>
      <c r="D111" s="26"/>
    </row>
    <row r="112" spans="1:4" ht="20.25">
      <c r="A112" s="95"/>
      <c r="B112" s="20"/>
      <c r="C112" s="26"/>
      <c r="D112" s="26"/>
    </row>
    <row r="113" spans="1:4" ht="20.25">
      <c r="A113" s="95"/>
      <c r="B113" s="20"/>
      <c r="C113" s="26"/>
      <c r="D113" s="26"/>
    </row>
    <row r="114" spans="1:4" ht="20.25">
      <c r="A114" s="95"/>
      <c r="B114" s="20"/>
      <c r="C114" s="26"/>
      <c r="D114" s="26"/>
    </row>
    <row r="115" spans="1:4" ht="20.25">
      <c r="A115" s="95"/>
      <c r="B115" s="20"/>
      <c r="C115" s="26"/>
      <c r="D115" s="26"/>
    </row>
    <row r="116" spans="1:4" ht="20.25">
      <c r="A116" s="95"/>
      <c r="B116" s="20"/>
      <c r="C116" s="26"/>
      <c r="D116" s="26"/>
    </row>
    <row r="117" spans="1:4" ht="20.25">
      <c r="A117" s="95"/>
      <c r="B117" s="20"/>
      <c r="C117" s="26"/>
      <c r="D117" s="26"/>
    </row>
    <row r="118" spans="1:4" ht="20.25">
      <c r="A118" s="95"/>
      <c r="B118" s="20"/>
      <c r="C118" s="26"/>
      <c r="D118" s="26"/>
    </row>
    <row r="119" spans="1:4" ht="20.25">
      <c r="A119" s="95"/>
      <c r="B119" s="20"/>
      <c r="C119" s="26"/>
      <c r="D119" s="26"/>
    </row>
    <row r="120" spans="1:4" ht="20.25">
      <c r="A120" s="95"/>
      <c r="B120" s="20"/>
      <c r="C120" s="26"/>
      <c r="D120" s="26"/>
    </row>
    <row r="121" spans="1:4" ht="20.25">
      <c r="A121" s="95"/>
      <c r="B121" s="20"/>
      <c r="C121" s="26"/>
      <c r="D121" s="26"/>
    </row>
    <row r="122" spans="1:4" ht="20.25">
      <c r="A122" s="95"/>
      <c r="B122" s="20"/>
      <c r="C122" s="26"/>
      <c r="D122" s="26"/>
    </row>
    <row r="123" spans="1:4" ht="20.25">
      <c r="A123" s="95"/>
      <c r="B123" s="20"/>
      <c r="C123" s="26"/>
      <c r="D123" s="26"/>
    </row>
    <row r="124" spans="1:4" ht="20.25">
      <c r="A124" s="95"/>
      <c r="B124" s="20"/>
      <c r="C124" s="26"/>
      <c r="D124" s="26"/>
    </row>
    <row r="125" spans="1:4" ht="20.25">
      <c r="A125" s="95"/>
      <c r="B125" s="20"/>
      <c r="C125" s="26"/>
      <c r="D125" s="26"/>
    </row>
    <row r="126" spans="1:4" ht="20.25">
      <c r="A126" s="95"/>
      <c r="B126" s="20"/>
      <c r="C126" s="26"/>
      <c r="D126" s="26"/>
    </row>
    <row r="127" spans="1:4" ht="20.25">
      <c r="A127" s="95"/>
      <c r="B127" s="20"/>
      <c r="C127" s="26"/>
      <c r="D127" s="26"/>
    </row>
    <row r="128" spans="1:4" ht="20.25">
      <c r="A128" s="95"/>
      <c r="B128" s="20"/>
      <c r="C128" s="26"/>
      <c r="D128" s="26"/>
    </row>
    <row r="129" spans="1:4" ht="20.25">
      <c r="A129" s="95"/>
      <c r="B129" s="20"/>
      <c r="C129" s="26"/>
      <c r="D129" s="26"/>
    </row>
    <row r="130" spans="1:4" ht="20.25">
      <c r="A130" s="95"/>
      <c r="B130" s="20"/>
      <c r="C130" s="26"/>
      <c r="D130" s="26"/>
    </row>
    <row r="131" spans="1:4" ht="20.25">
      <c r="A131" s="95"/>
      <c r="B131" s="20"/>
      <c r="C131" s="26"/>
      <c r="D131" s="26"/>
    </row>
    <row r="132" spans="1:4" ht="20.25">
      <c r="A132" s="95"/>
      <c r="B132" s="20"/>
      <c r="C132" s="26"/>
      <c r="D132" s="26"/>
    </row>
    <row r="133" spans="1:4" ht="20.25">
      <c r="A133" s="95"/>
      <c r="B133" s="20"/>
      <c r="C133" s="26"/>
      <c r="D133" s="26"/>
    </row>
    <row r="134" spans="1:4" ht="20.25">
      <c r="A134" s="95"/>
      <c r="B134" s="20"/>
      <c r="C134" s="26"/>
      <c r="D134" s="26"/>
    </row>
    <row r="135" spans="1:4" ht="20.25">
      <c r="A135" s="95"/>
      <c r="B135" s="20"/>
      <c r="C135" s="26"/>
      <c r="D135" s="26"/>
    </row>
    <row r="136" spans="1:4" ht="20.25">
      <c r="A136" s="95"/>
      <c r="B136" s="20"/>
      <c r="C136" s="26"/>
      <c r="D136" s="26"/>
    </row>
    <row r="137" spans="1:4" ht="20.25">
      <c r="A137" s="95"/>
      <c r="B137" s="20"/>
      <c r="C137" s="26"/>
      <c r="D137" s="26"/>
    </row>
    <row r="138" spans="1:4" ht="20.25">
      <c r="A138" s="95"/>
      <c r="B138" s="20"/>
      <c r="C138" s="26"/>
      <c r="D138" s="26"/>
    </row>
    <row r="139" spans="1:4" ht="20.25">
      <c r="A139" s="95"/>
      <c r="B139" s="20"/>
      <c r="C139" s="26"/>
      <c r="D139" s="26"/>
    </row>
    <row r="140" spans="1:4" ht="20.25">
      <c r="A140" s="95"/>
      <c r="B140" s="20"/>
      <c r="C140" s="26"/>
      <c r="D140" s="26"/>
    </row>
    <row r="141" spans="1:4" ht="20.25">
      <c r="A141" s="95"/>
      <c r="B141" s="20"/>
      <c r="C141" s="26"/>
      <c r="D141" s="26"/>
    </row>
    <row r="142" spans="1:4" ht="20.25">
      <c r="A142" s="95"/>
      <c r="B142" s="20"/>
      <c r="C142" s="26"/>
      <c r="D142" s="26"/>
    </row>
    <row r="143" spans="1:4" ht="20.25">
      <c r="A143" s="95"/>
      <c r="B143" s="20"/>
      <c r="C143" s="26"/>
      <c r="D143" s="26"/>
    </row>
    <row r="144" spans="1:4" ht="20.25">
      <c r="A144" s="95"/>
      <c r="B144" s="20"/>
      <c r="C144" s="26"/>
      <c r="D144" s="26"/>
    </row>
    <row r="145" spans="1:4" ht="20.25">
      <c r="A145" s="95"/>
      <c r="B145" s="20"/>
      <c r="C145" s="26"/>
      <c r="D145" s="26"/>
    </row>
    <row r="146" spans="1:4" ht="20.25">
      <c r="A146" s="95"/>
      <c r="B146" s="20"/>
      <c r="C146" s="26"/>
      <c r="D146" s="26"/>
    </row>
    <row r="147" spans="1:4" ht="20.25">
      <c r="A147" s="95"/>
      <c r="B147" s="20"/>
      <c r="C147" s="26"/>
      <c r="D147" s="26"/>
    </row>
    <row r="148" spans="1:4" ht="20.25">
      <c r="A148" s="95"/>
      <c r="B148" s="20"/>
      <c r="C148" s="26"/>
      <c r="D148" s="26"/>
    </row>
    <row r="149" spans="1:4" ht="20.25">
      <c r="A149" s="95"/>
      <c r="B149" s="20"/>
      <c r="C149" s="26"/>
      <c r="D149" s="26"/>
    </row>
    <row r="150" spans="1:4" ht="20.25">
      <c r="A150" s="95"/>
      <c r="B150" s="20"/>
      <c r="C150" s="26"/>
      <c r="D150" s="26"/>
    </row>
    <row r="151" spans="1:4" ht="20.25">
      <c r="A151" s="95"/>
      <c r="B151" s="20"/>
      <c r="C151" s="26"/>
      <c r="D151" s="26"/>
    </row>
    <row r="152" spans="1:4" ht="20.25">
      <c r="A152" s="95"/>
      <c r="B152" s="20"/>
      <c r="C152" s="26"/>
      <c r="D152" s="26"/>
    </row>
    <row r="153" spans="1:4" ht="20.25">
      <c r="A153" s="95"/>
      <c r="B153" s="20"/>
      <c r="C153" s="26"/>
      <c r="D153" s="26"/>
    </row>
    <row r="154" spans="1:4" ht="20.25">
      <c r="A154" s="95"/>
      <c r="B154" s="20"/>
      <c r="C154" s="26"/>
      <c r="D154" s="26"/>
    </row>
    <row r="155" spans="1:4" ht="20.25">
      <c r="A155" s="95"/>
      <c r="B155" s="20"/>
      <c r="C155" s="26"/>
      <c r="D155" s="26"/>
    </row>
    <row r="156" spans="1:4" ht="20.25">
      <c r="A156" s="95"/>
      <c r="B156" s="20"/>
      <c r="C156" s="26"/>
      <c r="D156" s="26"/>
    </row>
    <row r="157" spans="1:4" ht="20.25">
      <c r="A157" s="95"/>
      <c r="B157" s="20"/>
      <c r="C157" s="26"/>
      <c r="D157" s="26"/>
    </row>
    <row r="158" spans="1:4" ht="20.25">
      <c r="A158" s="95"/>
      <c r="B158" s="20"/>
      <c r="C158" s="26"/>
      <c r="D158" s="26"/>
    </row>
    <row r="159" spans="1:4" ht="20.25">
      <c r="A159" s="95"/>
      <c r="B159" s="20"/>
      <c r="C159" s="26"/>
      <c r="D159" s="26"/>
    </row>
    <row r="160" spans="1:4" ht="20.25">
      <c r="A160" s="95"/>
      <c r="B160" s="20"/>
      <c r="C160" s="26"/>
      <c r="D160" s="26"/>
    </row>
    <row r="161" spans="1:4" ht="20.25">
      <c r="A161" s="95"/>
      <c r="B161" s="20"/>
      <c r="C161" s="26"/>
      <c r="D161" s="26"/>
    </row>
    <row r="162" spans="1:4" ht="20.25">
      <c r="A162" s="95"/>
      <c r="B162" s="20"/>
      <c r="C162" s="26"/>
      <c r="D162" s="26"/>
    </row>
    <row r="163" spans="1:4" ht="20.25">
      <c r="A163" s="95"/>
      <c r="B163" s="20"/>
      <c r="C163" s="26"/>
      <c r="D163" s="26"/>
    </row>
    <row r="164" spans="1:4" ht="20.25">
      <c r="A164" s="95"/>
      <c r="B164" s="20"/>
      <c r="C164" s="26"/>
      <c r="D164" s="26"/>
    </row>
    <row r="165" spans="1:4" ht="20.25">
      <c r="A165" s="95"/>
      <c r="B165" s="20"/>
      <c r="C165" s="26"/>
      <c r="D165" s="26"/>
    </row>
    <row r="166" spans="1:4" ht="20.25">
      <c r="A166" s="95"/>
      <c r="B166" s="20"/>
      <c r="C166" s="26"/>
      <c r="D166" s="26"/>
    </row>
    <row r="167" spans="1:4" ht="20.25">
      <c r="A167" s="95"/>
      <c r="B167" s="20"/>
      <c r="C167" s="26"/>
      <c r="D167" s="26"/>
    </row>
    <row r="168" spans="1:4" ht="20.25">
      <c r="A168" s="95"/>
      <c r="B168" s="20"/>
      <c r="C168" s="26"/>
      <c r="D168" s="26"/>
    </row>
    <row r="169" spans="1:4" ht="20.25">
      <c r="A169" s="95"/>
      <c r="B169" s="20"/>
      <c r="C169" s="26"/>
      <c r="D169" s="26"/>
    </row>
    <row r="170" spans="1:4" ht="20.25">
      <c r="A170" s="95"/>
      <c r="B170" s="20"/>
      <c r="C170" s="26"/>
      <c r="D170" s="26"/>
    </row>
    <row r="171" spans="1:4" ht="20.25">
      <c r="A171" s="95"/>
      <c r="B171" s="20"/>
      <c r="C171" s="26"/>
      <c r="D171" s="26"/>
    </row>
    <row r="172" spans="1:4" ht="20.25">
      <c r="A172" s="95"/>
      <c r="B172" s="20"/>
      <c r="C172" s="26"/>
      <c r="D172" s="26"/>
    </row>
    <row r="173" spans="1:4" ht="20.25">
      <c r="A173" s="95"/>
      <c r="B173" s="20"/>
      <c r="C173" s="26"/>
      <c r="D173" s="26"/>
    </row>
    <row r="174" spans="1:4" ht="20.25">
      <c r="A174" s="95"/>
      <c r="B174" s="20"/>
      <c r="C174" s="26"/>
      <c r="D174" s="26"/>
    </row>
    <row r="175" spans="1:4" ht="20.25">
      <c r="A175" s="95"/>
      <c r="B175" s="20"/>
      <c r="C175" s="26"/>
      <c r="D175" s="26"/>
    </row>
    <row r="176" spans="1:4" ht="20.25">
      <c r="A176" s="95"/>
      <c r="B176" s="20"/>
      <c r="C176" s="26"/>
      <c r="D176" s="26"/>
    </row>
    <row r="177" spans="1:4" ht="20.25">
      <c r="A177" s="95"/>
      <c r="B177" s="20"/>
      <c r="C177" s="26"/>
      <c r="D177" s="26"/>
    </row>
    <row r="178" spans="1:4" ht="20.25">
      <c r="A178" s="95"/>
      <c r="B178" s="20"/>
      <c r="C178" s="26"/>
      <c r="D178" s="26"/>
    </row>
    <row r="179" spans="1:4" ht="20.25">
      <c r="A179" s="95"/>
      <c r="B179" s="20"/>
      <c r="C179" s="26"/>
      <c r="D179" s="26"/>
    </row>
    <row r="180" spans="1:4" ht="20.25">
      <c r="A180" s="95"/>
      <c r="B180" s="20"/>
      <c r="C180" s="26"/>
      <c r="D180" s="26"/>
    </row>
    <row r="181" spans="1:4" ht="20.25">
      <c r="A181" s="95"/>
      <c r="B181" s="20"/>
      <c r="C181" s="26"/>
      <c r="D181" s="26"/>
    </row>
    <row r="182" spans="1:4" ht="20.25">
      <c r="A182" s="95"/>
      <c r="B182" s="20"/>
      <c r="C182" s="26"/>
      <c r="D182" s="26"/>
    </row>
    <row r="183" spans="1:4" ht="20.25">
      <c r="A183" s="95"/>
      <c r="B183" s="20"/>
      <c r="C183" s="26"/>
      <c r="D183" s="26"/>
    </row>
    <row r="184" spans="1:4" ht="20.25">
      <c r="A184" s="95"/>
      <c r="B184" s="20"/>
      <c r="C184" s="26"/>
      <c r="D184" s="26"/>
    </row>
    <row r="185" spans="1:4" ht="20.25">
      <c r="A185" s="95"/>
      <c r="B185" s="20"/>
      <c r="C185" s="26"/>
      <c r="D185" s="26"/>
    </row>
    <row r="186" spans="1:4" ht="20.25">
      <c r="A186" s="95"/>
      <c r="B186" s="20"/>
      <c r="C186" s="26"/>
      <c r="D186" s="26"/>
    </row>
    <row r="187" spans="1:4" ht="20.25">
      <c r="A187" s="95"/>
      <c r="B187" s="20"/>
      <c r="C187" s="26"/>
      <c r="D187" s="26"/>
    </row>
    <row r="188" spans="1:4" ht="20.25">
      <c r="A188" s="95"/>
      <c r="B188" s="20"/>
      <c r="C188" s="26"/>
      <c r="D188" s="26"/>
    </row>
    <row r="189" spans="1:4" ht="20.25">
      <c r="A189" s="95"/>
      <c r="B189" s="20"/>
      <c r="C189" s="26"/>
      <c r="D189" s="26"/>
    </row>
    <row r="190" spans="1:4" ht="20.25">
      <c r="A190" s="95"/>
      <c r="B190" s="20"/>
      <c r="C190" s="26"/>
      <c r="D190" s="26"/>
    </row>
    <row r="191" spans="1:4" ht="20.25">
      <c r="A191" s="95"/>
      <c r="B191" s="20"/>
      <c r="C191" s="26"/>
      <c r="D191" s="26"/>
    </row>
    <row r="192" spans="1:4" ht="20.25">
      <c r="A192" s="95"/>
      <c r="B192" s="20"/>
      <c r="C192" s="26"/>
      <c r="D192" s="26"/>
    </row>
    <row r="193" spans="1:4" ht="20.25">
      <c r="A193" s="95"/>
      <c r="B193" s="20"/>
      <c r="C193" s="26"/>
      <c r="D193" s="26"/>
    </row>
    <row r="194" spans="1:4" ht="20.25">
      <c r="A194" s="95"/>
      <c r="B194" s="20"/>
      <c r="C194" s="26"/>
      <c r="D194" s="26"/>
    </row>
    <row r="195" spans="1:4" ht="20.25">
      <c r="A195" s="95"/>
      <c r="B195" s="20"/>
      <c r="C195" s="26"/>
      <c r="D195" s="26"/>
    </row>
    <row r="196" spans="1:4" ht="20.25">
      <c r="A196" s="95"/>
      <c r="B196" s="20"/>
      <c r="C196" s="26"/>
      <c r="D196" s="26"/>
    </row>
    <row r="197" spans="1:4" ht="20.25">
      <c r="A197" s="95"/>
      <c r="B197" s="20"/>
      <c r="C197" s="26"/>
      <c r="D197" s="26"/>
    </row>
    <row r="198" spans="1:4" ht="20.25">
      <c r="A198" s="95"/>
      <c r="B198" s="20"/>
      <c r="C198" s="26"/>
      <c r="D198" s="26"/>
    </row>
    <row r="199" spans="1:4" ht="20.25">
      <c r="A199" s="95"/>
      <c r="B199" s="20"/>
      <c r="C199" s="26"/>
      <c r="D199" s="26"/>
    </row>
    <row r="200" spans="1:4" ht="20.25">
      <c r="A200" s="95"/>
      <c r="B200" s="20"/>
      <c r="C200" s="26"/>
      <c r="D200" s="26"/>
    </row>
    <row r="201" spans="1:4" ht="20.25">
      <c r="A201" s="95"/>
      <c r="B201" s="20"/>
      <c r="C201" s="26"/>
      <c r="D201" s="26"/>
    </row>
    <row r="202" spans="1:4" ht="20.25">
      <c r="A202" s="95"/>
      <c r="B202" s="20"/>
      <c r="C202" s="26"/>
      <c r="D202" s="26"/>
    </row>
    <row r="203" spans="1:4" ht="20.25">
      <c r="A203" s="95"/>
      <c r="B203" s="20"/>
      <c r="C203" s="26"/>
      <c r="D203" s="26"/>
    </row>
    <row r="204" spans="1:4" ht="20.25">
      <c r="A204" s="95"/>
      <c r="B204" s="20"/>
      <c r="C204" s="26"/>
      <c r="D204" s="26"/>
    </row>
    <row r="205" spans="1:4" ht="20.25">
      <c r="A205" s="95"/>
      <c r="B205" s="20"/>
      <c r="C205" s="26"/>
      <c r="D205" s="26"/>
    </row>
    <row r="206" spans="1:4" ht="20.25">
      <c r="A206" s="95"/>
      <c r="B206" s="20"/>
      <c r="C206" s="26"/>
      <c r="D206" s="26"/>
    </row>
    <row r="207" spans="1:4" ht="20.25">
      <c r="A207" s="95"/>
      <c r="B207" s="20"/>
      <c r="C207" s="26"/>
      <c r="D207" s="26"/>
    </row>
    <row r="208" spans="1:4">
      <c r="A208" s="75"/>
      <c r="B208" s="20"/>
      <c r="C208" s="20"/>
      <c r="D208" s="20"/>
    </row>
    <row r="209" spans="1:8" ht="20.25">
      <c r="A209" s="75"/>
      <c r="B209" s="22" t="s">
        <v>87</v>
      </c>
      <c r="C209" s="22" t="s">
        <v>142</v>
      </c>
      <c r="D209" s="25" t="s">
        <v>87</v>
      </c>
      <c r="E209" s="25" t="s">
        <v>142</v>
      </c>
    </row>
    <row r="210" spans="1:8" ht="21">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c r="A211" s="75"/>
      <c r="B211" s="23" t="s">
        <v>89</v>
      </c>
      <c r="C211" s="23" t="s">
        <v>92</v>
      </c>
      <c r="E211" t="s">
        <v>57</v>
      </c>
      <c r="F211" t="str">
        <f t="shared" ref="F211:F221" si="0">IF(NOT(ISBLANK(D211)),D211,IF(NOT(ISBLANK(E211)),"     "&amp;E211,FALSE))</f>
        <v xml:space="preserve">     Afectación menor a 10 SMLMV .</v>
      </c>
    </row>
    <row r="212" spans="1:8" ht="21">
      <c r="A212" s="75"/>
      <c r="B212" s="23" t="s">
        <v>89</v>
      </c>
      <c r="C212" s="23" t="s">
        <v>93</v>
      </c>
      <c r="E212" t="s">
        <v>92</v>
      </c>
      <c r="F212" t="str">
        <f t="shared" si="0"/>
        <v xml:space="preserve">     Entre 10 y 50 SMLMV </v>
      </c>
    </row>
    <row r="213" spans="1:8" ht="21">
      <c r="A213" s="75"/>
      <c r="B213" s="23" t="s">
        <v>89</v>
      </c>
      <c r="C213" s="23" t="s">
        <v>94</v>
      </c>
      <c r="E213" t="s">
        <v>93</v>
      </c>
      <c r="F213" t="str">
        <f t="shared" si="0"/>
        <v xml:space="preserve">     Entre 50 y 100 SMLMV </v>
      </c>
    </row>
    <row r="214" spans="1:8" ht="21">
      <c r="A214" s="75"/>
      <c r="B214" s="23" t="s">
        <v>89</v>
      </c>
      <c r="C214" s="23" t="s">
        <v>95</v>
      </c>
      <c r="E214" t="s">
        <v>94</v>
      </c>
      <c r="F214" t="str">
        <f t="shared" si="0"/>
        <v xml:space="preserve">     Entre 100 y 500 SMLMV </v>
      </c>
    </row>
    <row r="215" spans="1:8" ht="21">
      <c r="A215" s="75"/>
      <c r="B215" s="23" t="s">
        <v>56</v>
      </c>
      <c r="C215" s="23" t="s">
        <v>96</v>
      </c>
      <c r="E215" t="s">
        <v>95</v>
      </c>
      <c r="F215" t="str">
        <f t="shared" si="0"/>
        <v xml:space="preserve">     Mayor a 500 SMLMV </v>
      </c>
    </row>
    <row r="216" spans="1:8" ht="21">
      <c r="A216" s="75"/>
      <c r="B216" s="23" t="s">
        <v>56</v>
      </c>
      <c r="C216" s="23" t="s">
        <v>97</v>
      </c>
      <c r="D216" t="s">
        <v>56</v>
      </c>
      <c r="F216" t="str">
        <f t="shared" si="0"/>
        <v>Pérdida Reputacional</v>
      </c>
    </row>
    <row r="217" spans="1:8" ht="21">
      <c r="A217" s="75"/>
      <c r="B217" s="23" t="s">
        <v>56</v>
      </c>
      <c r="C217" s="23" t="s">
        <v>99</v>
      </c>
      <c r="E217" t="s">
        <v>96</v>
      </c>
      <c r="F217" t="str">
        <f t="shared" si="0"/>
        <v xml:space="preserve">     El riesgo afecta la imagen de alguna área de la organización</v>
      </c>
    </row>
    <row r="218" spans="1:8" ht="21">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c r="A219" s="75"/>
      <c r="B219" s="23" t="s">
        <v>56</v>
      </c>
      <c r="C219" s="23" t="s">
        <v>117</v>
      </c>
      <c r="E219" t="s">
        <v>99</v>
      </c>
      <c r="F219" t="str">
        <f t="shared" si="0"/>
        <v xml:space="preserve">     El riesgo afecta la imagen de la entidad con algunos usuarios de relevancia frente al logro de los objetivos</v>
      </c>
    </row>
    <row r="220" spans="1:8">
      <c r="A220" s="75"/>
      <c r="B220" s="24"/>
      <c r="C220" s="24"/>
      <c r="E220" t="s">
        <v>98</v>
      </c>
      <c r="F220" t="str">
        <f t="shared" si="0"/>
        <v xml:space="preserve">     El riesgo afecta la imagen de de la entidad con efecto publicitario sostenido a nivel de sector administrativo, nivel departamental o municipal</v>
      </c>
    </row>
    <row r="221" spans="1:8">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c r="A222" s="75"/>
      <c r="B222" s="24" t="str">
        <v>Afectación Económica o presupuestal</v>
      </c>
      <c r="C222" s="24"/>
    </row>
    <row r="223" spans="1:8">
      <c r="B223" s="24" t="str">
        <v>Pérdida Reputacional</v>
      </c>
      <c r="C223" s="24"/>
      <c r="F223" s="27" t="s">
        <v>144</v>
      </c>
    </row>
    <row r="224" spans="1:8">
      <c r="B224" s="19"/>
      <c r="C224" s="19"/>
      <c r="F224" s="27" t="s">
        <v>145</v>
      </c>
    </row>
    <row r="225" spans="2:4">
      <c r="B225" s="19"/>
      <c r="C225" s="19"/>
    </row>
    <row r="226" spans="2:4">
      <c r="B226" s="19"/>
      <c r="C226" s="19"/>
    </row>
    <row r="227" spans="2:4">
      <c r="B227" s="19"/>
      <c r="C227" s="19"/>
      <c r="D227" s="19"/>
    </row>
    <row r="228" spans="2:4">
      <c r="B228" s="19"/>
      <c r="C228" s="19"/>
      <c r="D228" s="19"/>
    </row>
    <row r="229" spans="2:4">
      <c r="B229" s="19"/>
      <c r="C229" s="19"/>
      <c r="D229" s="19"/>
    </row>
    <row r="230" spans="2:4">
      <c r="B230" s="19"/>
      <c r="C230" s="19"/>
      <c r="D230" s="19"/>
    </row>
    <row r="231" spans="2:4">
      <c r="B231" s="19"/>
      <c r="C231" s="19"/>
      <c r="D231" s="19"/>
    </row>
    <row r="232" spans="2:4">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cols>
    <col min="1" max="2" width="14.28515625" style="80"/>
    <col min="3" max="3" width="17" style="80" customWidth="1"/>
    <col min="4" max="4" width="14.28515625" style="80"/>
    <col min="5" max="5" width="46" style="80" customWidth="1"/>
    <col min="6" max="16384" width="14.28515625" style="80"/>
  </cols>
  <sheetData>
    <row r="1" spans="2:6" ht="24" customHeight="1" thickBot="1">
      <c r="B1" s="426" t="s">
        <v>77</v>
      </c>
      <c r="C1" s="427"/>
      <c r="D1" s="427"/>
      <c r="E1" s="427"/>
      <c r="F1" s="428"/>
    </row>
    <row r="2" spans="2:6" ht="16.5" thickBot="1">
      <c r="B2" s="81"/>
      <c r="C2" s="81"/>
      <c r="D2" s="81"/>
      <c r="E2" s="81"/>
      <c r="F2" s="81"/>
    </row>
    <row r="3" spans="2:6" ht="16.5" thickBot="1">
      <c r="B3" s="430" t="s">
        <v>63</v>
      </c>
      <c r="C3" s="431"/>
      <c r="D3" s="431"/>
      <c r="E3" s="93" t="s">
        <v>64</v>
      </c>
      <c r="F3" s="94" t="s">
        <v>65</v>
      </c>
    </row>
    <row r="4" spans="2:6" ht="31.5">
      <c r="B4" s="432" t="s">
        <v>66</v>
      </c>
      <c r="C4" s="434" t="s">
        <v>13</v>
      </c>
      <c r="D4" s="82" t="s">
        <v>14</v>
      </c>
      <c r="E4" s="83" t="s">
        <v>67</v>
      </c>
      <c r="F4" s="84">
        <v>0.25</v>
      </c>
    </row>
    <row r="5" spans="2:6" ht="47.25">
      <c r="B5" s="433"/>
      <c r="C5" s="435"/>
      <c r="D5" s="85" t="s">
        <v>15</v>
      </c>
      <c r="E5" s="86" t="s">
        <v>68</v>
      </c>
      <c r="F5" s="87">
        <v>0.15</v>
      </c>
    </row>
    <row r="6" spans="2:6" ht="47.25">
      <c r="B6" s="433"/>
      <c r="C6" s="435"/>
      <c r="D6" s="85" t="s">
        <v>16</v>
      </c>
      <c r="E6" s="86" t="s">
        <v>69</v>
      </c>
      <c r="F6" s="87">
        <v>0.1</v>
      </c>
    </row>
    <row r="7" spans="2:6" ht="63">
      <c r="B7" s="433"/>
      <c r="C7" s="435" t="s">
        <v>17</v>
      </c>
      <c r="D7" s="85" t="s">
        <v>10</v>
      </c>
      <c r="E7" s="86" t="s">
        <v>70</v>
      </c>
      <c r="F7" s="87">
        <v>0.25</v>
      </c>
    </row>
    <row r="8" spans="2:6" ht="31.5">
      <c r="B8" s="433"/>
      <c r="C8" s="435"/>
      <c r="D8" s="85" t="s">
        <v>9</v>
      </c>
      <c r="E8" s="86" t="s">
        <v>71</v>
      </c>
      <c r="F8" s="87">
        <v>0.15</v>
      </c>
    </row>
    <row r="9" spans="2:6" ht="47.25">
      <c r="B9" s="433" t="s">
        <v>159</v>
      </c>
      <c r="C9" s="435" t="s">
        <v>18</v>
      </c>
      <c r="D9" s="85" t="s">
        <v>19</v>
      </c>
      <c r="E9" s="86" t="s">
        <v>72</v>
      </c>
      <c r="F9" s="88" t="s">
        <v>73</v>
      </c>
    </row>
    <row r="10" spans="2:6" ht="63">
      <c r="B10" s="433"/>
      <c r="C10" s="435"/>
      <c r="D10" s="85" t="s">
        <v>20</v>
      </c>
      <c r="E10" s="86" t="s">
        <v>74</v>
      </c>
      <c r="F10" s="88" t="s">
        <v>73</v>
      </c>
    </row>
    <row r="11" spans="2:6" ht="47.25">
      <c r="B11" s="433"/>
      <c r="C11" s="435" t="s">
        <v>21</v>
      </c>
      <c r="D11" s="85" t="s">
        <v>22</v>
      </c>
      <c r="E11" s="86" t="s">
        <v>75</v>
      </c>
      <c r="F11" s="88" t="s">
        <v>73</v>
      </c>
    </row>
    <row r="12" spans="2:6" ht="47.25">
      <c r="B12" s="433"/>
      <c r="C12" s="435"/>
      <c r="D12" s="85" t="s">
        <v>23</v>
      </c>
      <c r="E12" s="86" t="s">
        <v>76</v>
      </c>
      <c r="F12" s="88" t="s">
        <v>73</v>
      </c>
    </row>
    <row r="13" spans="2:6" ht="31.5">
      <c r="B13" s="433"/>
      <c r="C13" s="435" t="s">
        <v>24</v>
      </c>
      <c r="D13" s="85" t="s">
        <v>118</v>
      </c>
      <c r="E13" s="86" t="s">
        <v>121</v>
      </c>
      <c r="F13" s="88" t="s">
        <v>73</v>
      </c>
    </row>
    <row r="14" spans="2:6" ht="32.25" thickBot="1">
      <c r="B14" s="436"/>
      <c r="C14" s="437"/>
      <c r="D14" s="89" t="s">
        <v>119</v>
      </c>
      <c r="E14" s="90" t="s">
        <v>120</v>
      </c>
      <c r="F14" s="91" t="s">
        <v>73</v>
      </c>
    </row>
    <row r="15" spans="2:6" ht="49.5" customHeight="1">
      <c r="B15" s="429" t="s">
        <v>156</v>
      </c>
      <c r="C15" s="429"/>
      <c r="D15" s="429"/>
      <c r="E15" s="429"/>
      <c r="F15" s="429"/>
    </row>
    <row r="16" spans="2:6" ht="27" customHeight="1">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sheetData>
    <row r="2" spans="2:5">
      <c r="B2" t="s">
        <v>31</v>
      </c>
      <c r="E2" t="s">
        <v>132</v>
      </c>
    </row>
    <row r="3" spans="2:5">
      <c r="B3" t="s">
        <v>32</v>
      </c>
      <c r="E3" t="s">
        <v>131</v>
      </c>
    </row>
    <row r="4" spans="2:5">
      <c r="B4" t="s">
        <v>136</v>
      </c>
      <c r="E4" t="s">
        <v>133</v>
      </c>
    </row>
    <row r="5" spans="2:5">
      <c r="B5" t="s">
        <v>135</v>
      </c>
    </row>
    <row r="8" spans="2:5">
      <c r="B8" t="s">
        <v>85</v>
      </c>
    </row>
    <row r="9" spans="2:5">
      <c r="B9" t="s">
        <v>39</v>
      </c>
    </row>
    <row r="10" spans="2:5">
      <c r="B10" t="s">
        <v>40</v>
      </c>
    </row>
    <row r="13" spans="2:5">
      <c r="B13" t="s">
        <v>128</v>
      </c>
    </row>
    <row r="14" spans="2:5">
      <c r="B14" t="s">
        <v>122</v>
      </c>
    </row>
    <row r="15" spans="2:5">
      <c r="B15" t="s">
        <v>125</v>
      </c>
    </row>
    <row r="16" spans="2:5">
      <c r="B16" t="s">
        <v>123</v>
      </c>
    </row>
    <row r="17" spans="2:2">
      <c r="B17" t="s">
        <v>124</v>
      </c>
    </row>
    <row r="18" spans="2:2">
      <c r="B18" t="s">
        <v>126</v>
      </c>
    </row>
    <row r="19" spans="2:2">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2022-12-13T21:28:58Z</dcterms:modified>
</cp:coreProperties>
</file>