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plandeaccion\Downloads\"/>
    </mc:Choice>
  </mc:AlternateContent>
  <bookViews>
    <workbookView xWindow="-120" yWindow="-120" windowWidth="20730" windowHeight="1116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62913"/>
  <pivotCaches>
    <pivotCache cacheId="7"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6" i="1" l="1"/>
  <c r="V16" i="1"/>
  <c r="O16" i="1"/>
  <c r="P16" i="1" s="1"/>
  <c r="Q16" i="1" s="1"/>
  <c r="L16" i="1"/>
  <c r="R16" i="1" l="1"/>
  <c r="AG16" i="1"/>
  <c r="AF16" i="1" s="1"/>
  <c r="M16" i="1"/>
  <c r="AC16" i="1" s="1"/>
  <c r="AE16" i="1" l="1"/>
  <c r="AD16" i="1"/>
  <c r="AH16" i="1" s="1"/>
  <c r="L14" i="1" l="1"/>
  <c r="AG15" i="1" l="1"/>
  <c r="AF15" i="1" s="1"/>
  <c r="AG14" i="1"/>
  <c r="AF14" i="1" s="1"/>
  <c r="AC15" i="1"/>
  <c r="AE15" i="1" s="1"/>
  <c r="AC14" i="1"/>
  <c r="AE14" i="1" s="1"/>
  <c r="L15" i="1"/>
  <c r="P15" i="1"/>
  <c r="P14" i="1"/>
  <c r="L11" i="1"/>
  <c r="M11" i="1" s="1"/>
  <c r="V11" i="1"/>
  <c r="Y11" i="1"/>
  <c r="AD14" i="1" l="1"/>
  <c r="AH14" i="1" s="1"/>
  <c r="AC11" i="1"/>
  <c r="AD11" i="1" s="1"/>
  <c r="AD15" i="1"/>
  <c r="AH15" i="1" s="1"/>
  <c r="R15" i="1"/>
  <c r="R14" i="1"/>
  <c r="AE11" i="1" l="1"/>
  <c r="Y13" i="1" l="1"/>
  <c r="V13" i="1"/>
  <c r="L13" i="1"/>
  <c r="L21" i="1"/>
  <c r="O13" i="1"/>
  <c r="P13" i="1" l="1"/>
  <c r="Q13" i="1" s="1"/>
  <c r="AG13" i="1" s="1"/>
  <c r="AF13" i="1" s="1"/>
  <c r="M13" i="1"/>
  <c r="AC13" i="1" s="1"/>
  <c r="AD13" i="1" s="1"/>
  <c r="Y12" i="1"/>
  <c r="V12" i="1"/>
  <c r="L12" i="1"/>
  <c r="M12" i="1" s="1"/>
  <c r="R13" i="1" l="1"/>
  <c r="AH13" i="1"/>
  <c r="AE13" i="1"/>
  <c r="AC12" i="1"/>
  <c r="AD12" i="1" l="1"/>
  <c r="AE12" i="1"/>
  <c r="F221" i="13" l="1"/>
  <c r="F211" i="13"/>
  <c r="F212" i="13"/>
  <c r="F213" i="13"/>
  <c r="F214" i="13"/>
  <c r="F215" i="13"/>
  <c r="F216" i="13"/>
  <c r="F217" i="13"/>
  <c r="F218" i="13"/>
  <c r="F219" i="13"/>
  <c r="F220" i="13"/>
  <c r="F210" i="13"/>
  <c r="B221" i="13" a="1"/>
  <c r="O12" i="1"/>
  <c r="P12" i="1" l="1"/>
  <c r="B221" i="13"/>
  <c r="O11" i="1" s="1"/>
  <c r="P11" i="1" s="1"/>
  <c r="R11" i="1" l="1"/>
  <c r="Q11" i="1"/>
  <c r="AG11" i="1" s="1"/>
  <c r="AF11" i="1" s="1"/>
  <c r="AH11" i="1" s="1"/>
  <c r="Q12" i="1"/>
  <c r="AG12" i="1" s="1"/>
  <c r="AF12" i="1" s="1"/>
  <c r="AH12" i="1" s="1"/>
  <c r="R12"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<sst xmlns="http://schemas.openxmlformats.org/spreadsheetml/2006/main" count="515" uniqueCount="324">
  <si>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</si>
  <si>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</si>
  <si>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</si>
  <si>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</si>
  <si>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</si>
  <si>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</si>
  <si>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</si>
  <si>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</si>
  <si>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</si>
  <si>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</si>
  <si>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</si>
  <si>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</si>
  <si>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</si>
  <si>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</si>
  <si>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</si>
  <si>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</si>
  <si>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</si>
  <si>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</si>
  <si>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</si>
  <si>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</si>
  <si>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</si>
  <si>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</si>
  <si>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</si>
  <si>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</si>
  <si>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</si>
  <si>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</si>
  <si>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</si>
  <si>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</si>
  <si>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</si>
  <si>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</si>
  <si>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</si>
  <si>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</si>
  <si>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</si>
  <si>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</si>
  <si>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</si>
  <si>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</si>
  <si>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</si>
  <si>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</si>
  <si>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</si>
  <si>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</si>
  <si>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</si>
  <si>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</si>
  <si>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</si>
  <si>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</si>
  <si>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</si>
  <si>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</si>
  <si>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</si>
  <si>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</si>
  <si>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</si>
  <si>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</si>
  <si>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</si>
  <si>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</si>
  <si>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</si>
  <si>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</si>
  <si>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</si>
  <si>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</si>
  <si>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</si>
  <si>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</si>
  <si>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</si>
  <si>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</si>
  <si>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</si>
  <si>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</si>
  <si>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</si>
  <si>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</si>
  <si>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</si>
  <si>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</si>
  <si>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</si>
  <si>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</si>
  <si>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</si>
  <si>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</si>
  <si>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</si>
  <si>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</si>
  <si>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</si>
  <si>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</si>
  <si>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</si>
  <si>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</si>
  <si>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</si>
  <si>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</si>
  <si>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</si>
  <si>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</si>
  <si>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</si>
  <si>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</si>
  <si>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</si>
  <si>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</si>
  <si>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</si>
  <si>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</si>
  <si>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</si>
  <si>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</si>
  <si>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</si>
  <si>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</si>
  <si>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</si>
  <si>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</si>
  <si>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</si>
  <si>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</si>
  <si>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</si>
  <si>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</si>
  <si>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</si>
  <si>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</si>
  <si>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</si>
  <si>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</si>
  <si>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</si>
  <si>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</si>
  <si>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</si>
  <si>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</si>
  <si>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</si>
  <si>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</si>
  <si>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</si>
  <si>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</si>
  <si>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</si>
  <si>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</si>
  <si>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</si>
  <si>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</si>
  <si>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</si>
  <si>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</si>
  <si>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</si>
  <si>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</si>
  <si>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</si>
  <si>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</si>
  <si>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</si>
  <si>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</si>
  <si>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</si>
  <si>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</si>
  <si>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</si>
  <si>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</si>
  <si>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</si>
  <si>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</si>
  <si>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</si>
  <si>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</si>
  <si>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</si>
  <si>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</si>
  <si>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</si>
  <si>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</si>
  <si>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</si>
  <si>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</si>
  <si>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</si>
  <si>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</si>
  <si>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</si>
  <si>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</si>
  <si>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</si>
  <si>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</si>
  <si>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</si>
  <si>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</si>
  <si>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</si>
  <si>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</si>
  <si>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</si>
  <si>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</si>
  <si>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</si>
  <si>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</si>
  <si>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</si>
  <si>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</si>
  <si>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</si>
  <si>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</si>
  <si>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</si>
  <si>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</si>
  <si>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</si>
  <si>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</si>
  <si>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</si>
  <si>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</si>
  <si>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</si>
  <si>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</si>
  <si>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</si>
  <si>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</si>
  <si>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</si>
  <si>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</si>
  <si>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</si>
  <si>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</si>
  <si>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</si>
  <si>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</si>
  <si>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</si>
  <si>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</si>
  <si>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</si>
  <si>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</si>
  <si>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</si>
  <si>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</si>
  <si>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</si>
  <si>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</si>
  <si>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</si>
  <si>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</si>
  <si>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</si>
  <si>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</si>
  <si>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</si>
  <si>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</si>
  <si>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</si>
  <si>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</si>
  <si>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</si>
  <si>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</si>
  <si>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</si>
  <si>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</si>
  <si>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</si>
  <si>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</si>
  <si>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</si>
  <si>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</si>
  <si>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</si>
  <si>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</si>
  <si>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</si>
  <si>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</si>
  <si>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</si>
  <si>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</si>
  <si>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</si>
  <si>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</si>
  <si>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</si>
  <si>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</si>
  <si>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</si>
  <si>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</si>
  <si>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</si>
  <si>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</si>
  <si>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</si>
  <si>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</si>
  <si>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</si>
  <si>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</si>
  <si>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</si>
  <si>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</si>
  <si>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</si>
  <si>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</si>
  <si>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</si>
  <si>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</si>
  <si>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</si>
  <si>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</si>
  <si>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</si>
  <si>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</si>
  <si>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</si>
  <si>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</si>
  <si>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</si>
  <si>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</si>
  <si>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</si>
  <si>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</si>
  <si>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</si>
  <si>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</si>
  <si>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</si>
  <si>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</si>
  <si>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</si>
  <si>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</si>
  <si>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</si>
  <si>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</si>
  <si>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</si>
  <si>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</si>
  <si>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</si>
  <si>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</si>
  <si>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</si>
  <si>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</si>
  <si>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</si>
  <si>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</si>
  <si>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</si>
  <si>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</si>
  <si>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</si>
  <si>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</si>
  <si>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</si>
  <si>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</si>
  <si>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</si>
  <si>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</si>
  <si>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</si>
  <si>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</si>
  <si>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</si>
  <si>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</si>
  <si>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DIRECCIONAMIENTO INSTITUCIONAL</t>
  </si>
  <si>
    <t>Definir planes, programas y proyectos que garanticen el cumplimiento de la misión, visión, políticas y objetivos de la Escuela Tecnológica Instituto Técnico Central enmarcados en la normatividad vigente y en la planeación estratégica con miras de fortalecer el crecimiento de la institución a nivel nacional e internacional; favoreciendo la calidad y la formación integral e intercultural de nuestros educandos.</t>
  </si>
  <si>
    <t>Desde la Formulación de planes, programas y proyectos hasta el seguimiento de la evaluación institucional.</t>
  </si>
  <si>
    <t>40%</t>
  </si>
  <si>
    <t>Crear necesidades que no concuerdan con la realidad institucional.</t>
  </si>
  <si>
    <t>Discrecionalidad de la alta dirección para formular proyectos</t>
  </si>
  <si>
    <t>Jefe Oficina Asesora de Planeación</t>
  </si>
  <si>
    <t>Jefe Oficina Asesora de Planeación
Contratista de apoyo a la OAP</t>
  </si>
  <si>
    <t>Discreción de la alta dirección de distribuir los recursos para cada proyecto y/o dependencia.</t>
  </si>
  <si>
    <t>Error humano involuntario al asignar recursos a las áreas.
No recibir plan de necesidades de las áreas</t>
  </si>
  <si>
    <t>Plan de necesidades consolidado
Plan de acción</t>
  </si>
  <si>
    <t>Disminución de ingresos de matrículas en IBTI y PES.</t>
  </si>
  <si>
    <t>Baja gestión de los responsables del proyecto</t>
  </si>
  <si>
    <t>Seguimiento al plan de acción y presentación realizada</t>
  </si>
  <si>
    <t>Trimestralmente</t>
  </si>
  <si>
    <t>Posibilidad de afectación económica y reputacional debido a recibir dádivas o beneficios a nombre propio o de terceros por la asignación y distribución de los recursos  financieros.</t>
  </si>
  <si>
    <t>Programar el recaudo de recursos propios de manera errónea.</t>
  </si>
  <si>
    <t>Posibilidad de afectación económica al programar el recaudo de recursos propios de manera errónea debido a disminución de ingresos de matrículas en IBTI y PES.</t>
  </si>
  <si>
    <t>No se cumplen las metas previstas en el PDI 2021-2024, para la vigencia 2023</t>
  </si>
  <si>
    <t>Posibilidad de afectación reputacional por incumplir las metas en el PDI 2021-2024 para la vigencia 2023, debido la baja gestión de los responsables del proyecto</t>
  </si>
  <si>
    <t>Ejecución y Administracion de procesos</t>
  </si>
  <si>
    <t>Posibilidad de afectación económica y reputacional por recibir o solicitar cualquier dádiva o beneficio a nombre propio o de terceros al formular proyectos direccionados que no respondan a ninguna necesidad.</t>
  </si>
  <si>
    <t>El Jefe de la Oficina Asesora de Planeación anualmente proyecta ingresos propios en el anteproyecto de presupuesto verificando que se encuentren acorde a la evolución de matrículas (tanto del IBTI como de PES) de la ETITC, teniendo en cuenta los supuestos macroeconómicos que establece el DANE y Ministerio de Hacienda y Crédito Público.
No aplica desviación para la ejecución de este control, toda vez que para la elaboración del anteproyecto de presupuesto se requiere la información histórica de ingresos y gastos.</t>
  </si>
  <si>
    <t>Como soporte de la ejecución del control resultan los documentos de soporte del anteproyecto de presupuesto.</t>
  </si>
  <si>
    <t>Marzo</t>
  </si>
  <si>
    <t>Enero - Diciembre</t>
  </si>
  <si>
    <t>Manejo innadecuado de la información emitida a la comunidad de la ETITC, partes interesadas y opinión pública.</t>
  </si>
  <si>
    <t>Uso e interpretación inadecuada de la información sobre la Entidad</t>
  </si>
  <si>
    <t>Política de Comunicaciones
Manual para la implementación de la política de comunicaciones
Manual de Identidad Visual
Formato de solicitud DIE-FO-05 Solicitud de Servicios de Medios Audiovisuales y Comunicaciones
DIE-FO-18 Parrilla de contenidos</t>
  </si>
  <si>
    <t xml:space="preserve">1. Verificar la articilación y congruencia de las solictudes realizadas con la parrilla de contenido cofigurada por la Oficina de Comunicaciones.
 </t>
  </si>
  <si>
    <t xml:space="preserve">Oficina de Comuniciones </t>
  </si>
  <si>
    <t>Durante la vigencia</t>
  </si>
  <si>
    <t xml:space="preserve">El profesional de apoyo de la Oficina Asesora de Planeación de manera trimestral debe verificar que el presupuesto asignado para cada dependencia y registrado en el plan de acción cargado en el aplicativo Kawak y el Plan de Necesidades Institucional se ejecute acorde a los procesos de priorización de recursos y dinamicas de los procesos y áreas institucionales. El proceso de ejecución de recursos debe quedar registrado en los seguimientos del plan de acción y evidenciado en el aplicativo KAWAK y formato de seguimiento. </t>
  </si>
  <si>
    <t xml:space="preserve">Posibilidad de afectación reputacional debido al desarrollo y publicación de contenidos escritos y visuales errados para las audiencias de interés y partes interesadas. </t>
  </si>
  <si>
    <t>Evidencias</t>
  </si>
  <si>
    <t xml:space="preserve">La oficina de comunicaciones verifica que el desarrollo de contenidos escritos, visuales y audiovisuales, cumplan con los criterios establecidos en los manuales de la política de comunicaciones, filtrando la información a través de la parrilla de contenidos mensual captada a través del formato de solicitud. </t>
  </si>
  <si>
    <t>Como soporte de la ejecución del control resulta la actualización de la Plataforma integrada de Inversión Pública (PIIP) en la formulación de actividades.</t>
  </si>
  <si>
    <t>Actualizar la Plataforma Integrada de Inversión Pública con la información de formulación de los proyectos de inversión de la ETITC.</t>
  </si>
  <si>
    <t>Formulación de actividades anual</t>
  </si>
  <si>
    <t>El profesional de apoyo de la Oficina Asesora de Planeación anualmente debe formular a las actividades de los proyectos de inversión registrados en el banco nacional de programas y proyectos de la Nación que correspondan a necesidades misionales o de apoyo para la operación de la ETITC mediante la validación de la cadena de valor de los proyectos.
Si se presenta una desviación en la ejecución del control, el Jefe de la Oficina Asesora de Planeación solicitará la explicación de la actividad que no corresponda a una necesidad de la ETITC, en caso de no contar con justificación, dicha actividad debe ser eliminada del proyecto.</t>
  </si>
  <si>
    <t xml:space="preserve">El profesional de apoyo de la Oficina Asesora de Planeación de manera trimestral debe verificar la entrega oportuna y la completitud de la información de los proyectos registrados en el formato seguimiento al Plan de acción para la vigencia,  realizando el respectivo cargue de información en el aplicativo Kawak; de tal manera que se identifique la gestión desarrollada frente al cumplimiento de las metas 2024.
</t>
  </si>
  <si>
    <t>Fecha de actualización 10/05/2024</t>
  </si>
  <si>
    <r>
      <rPr>
        <b/>
        <sz val="14"/>
        <rFont val="Arial Narrow"/>
        <family val="2"/>
      </rPr>
      <t>LIDER DEL PROCESO:</t>
    </r>
    <r>
      <rPr>
        <sz val="14"/>
        <rFont val="Arial Narrow"/>
        <family val="2"/>
      </rPr>
      <t xml:space="preserve"> Hno. Ariosto Ardila Silva</t>
    </r>
  </si>
  <si>
    <r>
      <t xml:space="preserve">La ETITC cuenta con tres proyectos de inversión inscritos en la Plataforma Integrada de Inversión Pública (PIIP), a saber:
</t>
    </r>
    <r>
      <rPr>
        <b/>
        <sz val="11"/>
        <color theme="1"/>
        <rFont val="Arial Narrow"/>
        <family val="2"/>
      </rPr>
      <t xml:space="preserve">1) MEJORAMIENTO, ADQUISICIÓN, DOTACIÓN Y REFORZAMIENTO DE LA PLANTA FÍSICA E INFRAESTRUCTURA TECNOLÓGICA DE LA ESCUELA TECNOLÓGICA INSTITUTO TÉCNICO CENTRAL BOGOTÁ: </t>
    </r>
    <r>
      <rPr>
        <sz val="11"/>
        <color theme="1"/>
        <rFont val="Arial Narrow"/>
        <family val="2"/>
      </rPr>
      <t>por el valor de $11.301.492.414, donde se incluyen recursos para el reforzamiento estructural de la sede central de la institución, así como inversiones en plataformas, recursos tecnológicos, talleres y laboratorios.</t>
    </r>
    <r>
      <rPr>
        <b/>
        <sz val="11"/>
        <color theme="1"/>
        <rFont val="Arial Narrow"/>
        <family val="2"/>
      </rPr>
      <t xml:space="preserve">
2) FORTALECIMIENTO DEL SISTEMA DE INVESTIGACION DE LA ESCUELA TECNOLÓGICA INSTITUTO TECNICO CENTRAL BOGOTÁ: </t>
    </r>
    <r>
      <rPr>
        <sz val="11"/>
        <color theme="1"/>
        <rFont val="Arial Narrow"/>
        <family val="2"/>
      </rPr>
      <t>por el valor de $1.200.000.000 (MCTE) donde se impulsan las actividades de investigación, innovación y emprendimiento de la institución.</t>
    </r>
    <r>
      <rPr>
        <b/>
        <sz val="11"/>
        <color theme="1"/>
        <rFont val="Arial Narrow"/>
        <family val="2"/>
      </rPr>
      <t xml:space="preserve">
3) DIVULGACIÓN, MOVILIDAD , ASISTENCIA TÉCNICA Y CAPACITACIÓN DE LA COMUNIDAD EDUCATIVA DE LA ESCUELA TECNOLÓGICA INSTITUTO TÉCNICO CENTRAL. BOGOTÁ:</t>
    </r>
    <r>
      <rPr>
        <sz val="11"/>
        <color theme="1"/>
        <rFont val="Arial Narrow"/>
        <family val="2"/>
      </rPr>
      <t xml:space="preserve"> por el valor de $1.800.000.000 (MCTE), donde se incluyen recursos para procesos misionales y estratégicos orientados a la acreditación institucional de alta calidad.</t>
    </r>
  </si>
  <si>
    <t>A través del aplicativo KAWAK realizar el cargue de la asignación presupuestal para la realización de los proyectos integrados en el plan de acción vigencia 2024</t>
  </si>
  <si>
    <t>Enviar el anteproyecto de presupuesto 2025 ante el Ministerio de Hacienda y Crédito Público, acorde a los plazos establecidos en el calendario presupuestal, con los documentos soporte que deben ser presentados primero ante el Consejo Directivo de la ETITC.</t>
  </si>
  <si>
    <t>Jefe Oficina Asesora de Planeación
Contratista de la OAP</t>
  </si>
  <si>
    <t>Teniendo en cuenta que no se cargó el anteproyecto de presupuesto 2025 en SIIF Nación porque el Jefe de Planeación no contaba con el rol determinado para tal fin en el aplicativo, el 1° de abril se remitieron los documentos de anteproyecto 2025 por SITPRES (sede electrónica de MinHacienda), entre los documentos remitidos, se encuentra el análisis de ingresos propios (donde se encuentran matrículas PES e IBTI).</t>
  </si>
  <si>
    <t>Realizar seguimiento al Plan de Acción mediante el aplicativo KAWAK
Seguimiento al Plan de Acción publicado en la página institucional de manera trimestral
Presentación de los resultados de seguimiento al Plan de Acción institucional ante el CIGD</t>
  </si>
  <si>
    <t>Durante el mes de abril se ejecutó el cronograma de seguimiento al plan de acción institucional con corte 31-03-2024 obteniendo como resultado un avance general del 76,2%. 
El respectivo seguimiento fue cargado en el aplicativo KAWAK y publicado en la página institucional.</t>
  </si>
  <si>
    <t>El plan de necesidades vigencia 2024 fue insumo para la formulación del plan de acción vigencia 2024, de tal manera que con las áreas y procesos se estructuraron las actividades puntuales y los recursos a solicitar durante la vigencia para su respectivo desarrollo. 
El formato que integra el respectivo seguimiento, evidencia los valores presupuestales para cada uno de los proyectos y la desagregación en actividades estrategicas.
La Oficina Asesora de Planeación realizó seguimiento al plan de acción con corte al 31-03-2024, donde verificó el avance de actividades y su ejecución presupuestal.</t>
  </si>
  <si>
    <r>
      <t xml:space="preserve">Para el primer trimestre del año 2024, la oficina de comunicaciones ha realizado las siguientes actividades, que dan cuenta a los controles que se establecieron para evitar que se materialce el riesgo de  afectación reputacional: 
1. Desde de enero a abril: se han atendido </t>
    </r>
    <r>
      <rPr>
        <b/>
        <sz val="11"/>
        <color theme="1"/>
        <rFont val="Arial Narrow"/>
        <family val="2"/>
      </rPr>
      <t>138 solitudes</t>
    </r>
    <r>
      <rPr>
        <sz val="11"/>
        <color theme="1"/>
        <rFont val="Arial Narrow"/>
        <family val="2"/>
      </rPr>
      <t xml:space="preserve"> recibidas en el </t>
    </r>
    <r>
      <rPr>
        <b/>
        <sz val="11"/>
        <color theme="1"/>
        <rFont val="Arial Narrow"/>
        <family val="2"/>
      </rPr>
      <t>formato de solicitud DIE-FO-05</t>
    </r>
    <r>
      <rPr>
        <sz val="11"/>
        <color theme="1"/>
        <rFont val="Arial Narrow"/>
        <family val="2"/>
      </rPr>
      <t xml:space="preserve"> y desarrollas en las </t>
    </r>
    <r>
      <rPr>
        <b/>
        <sz val="11"/>
        <color theme="1"/>
        <rFont val="Arial Narrow"/>
        <family val="2"/>
      </rPr>
      <t>parrillas de contenidos DIE - FO -18</t>
    </r>
    <r>
      <rPr>
        <sz val="11"/>
        <color theme="1"/>
        <rFont val="Arial Narrow"/>
        <family val="2"/>
      </rPr>
      <t xml:space="preserve">: Enero (11), febrero(52), Marzo (27) y abril (48).
2. El 18 de enero se envio a la comunidad administrativa la campaña:Comunicación efectiva,  </t>
    </r>
    <r>
      <rPr>
        <i/>
        <sz val="11"/>
        <color theme="1"/>
        <rFont val="Arial Narrow"/>
        <family val="2"/>
      </rPr>
      <t>la buena comunicación es de todos, en la ETITC</t>
    </r>
    <r>
      <rPr>
        <sz val="11"/>
        <color theme="1"/>
        <rFont val="Arial Narrow"/>
        <family val="2"/>
      </rPr>
      <t xml:space="preserve"> para el año 2024 les recordamos lo importante que es  </t>
    </r>
    <r>
      <rPr>
        <b/>
        <sz val="11"/>
        <color theme="1"/>
        <rFont val="Arial Narrow"/>
        <family val="2"/>
      </rPr>
      <t>seguir el procedimiento DIE-PC-06 para solicitar servicios de comunicaciones.</t>
    </r>
    <r>
      <rPr>
        <sz val="11"/>
        <color theme="1"/>
        <rFont val="Arial Narrow"/>
        <family val="2"/>
      </rPr>
      <t xml:space="preserve">
3. El 21 de febrero se realizó jornada de inducción a personal nuevo, </t>
    </r>
    <r>
      <rPr>
        <b/>
        <sz val="11"/>
        <color theme="1"/>
        <rFont val="Arial Narrow"/>
        <family val="2"/>
      </rPr>
      <t>presentando el manual de identidad visual</t>
    </r>
    <r>
      <rPr>
        <sz val="11"/>
        <color theme="1"/>
        <rFont val="Arial Narrow"/>
        <family val="2"/>
      </rPr>
      <t xml:space="preserve">, el buen uso de los espacion digitales, normatividad y los canales de comuniación.  
4. </t>
    </r>
    <r>
      <rPr>
        <b/>
        <sz val="11"/>
        <color theme="1"/>
        <rFont val="Arial Narrow"/>
        <family val="2"/>
      </rPr>
      <t>Actualización y adopción</t>
    </r>
    <r>
      <rPr>
        <sz val="11"/>
        <color theme="1"/>
        <rFont val="Arial Narrow"/>
        <family val="2"/>
      </rPr>
      <t xml:space="preserve"> en el listado maestro de documentos de calidad, del </t>
    </r>
    <r>
      <rPr>
        <b/>
        <sz val="11"/>
        <color theme="1"/>
        <rFont val="Arial Narrow"/>
        <family val="2"/>
      </rPr>
      <t>manual de identidad visual versión 2024</t>
    </r>
    <r>
      <rPr>
        <sz val="11"/>
        <color theme="1"/>
        <rFont val="Arial Narrow"/>
        <family val="2"/>
      </rPr>
      <t xml:space="preserve">, realizado el 22 de febrero 
5. Desarrollar el </t>
    </r>
    <r>
      <rPr>
        <b/>
        <sz val="11"/>
        <color theme="1"/>
        <rFont val="Arial Narrow"/>
        <family val="2"/>
      </rPr>
      <t>curso actualización de la política de comunicaciones</t>
    </r>
    <r>
      <rPr>
        <sz val="11"/>
        <color theme="1"/>
        <rFont val="Arial Narrow"/>
        <family val="2"/>
      </rPr>
      <t xml:space="preserve"> en 6 módulos; 1. Introductorio, 2. Medios de Comunicación, 3. Lineamientos de comunicación, 4. Imagen y proyección de contenidos Institucionales, 5. Gestión de Crisis, 6. Protocolo de eventos y relaciones públicas
Implementado en la plataforma Escuela Digital de la ETITC,  como compensación de semana santa.
6. Se gestiono </t>
    </r>
    <r>
      <rPr>
        <b/>
        <sz val="11"/>
        <color theme="1"/>
        <rFont val="Arial Narrow"/>
        <family val="2"/>
      </rPr>
      <t xml:space="preserve">la vinculación de 5 profesionales por prestación de servicios </t>
    </r>
    <r>
      <rPr>
        <sz val="11"/>
        <color theme="1"/>
        <rFont val="Arial Narrow"/>
        <family val="2"/>
      </rPr>
      <t xml:space="preserve">para dar cumplimiento a lo establecido en el Plan de desarrollo Institucional mediante la ejecución de nueve (9) estrategias de comunicación:
Contrato 08 -2024; Administración del portal web, redes sociales y la emisora.
Contrato 110 -2024; Estrategias de comunicación
Contrato 176 -2024; Animación Digital
Contrato 111- 2024; Producción Audiovisual
Contrato 202 - 2024; Apoyo emisora. 
7. </t>
    </r>
    <r>
      <rPr>
        <b/>
        <sz val="11"/>
        <color theme="1"/>
        <rFont val="Arial Narrow"/>
        <family val="2"/>
      </rPr>
      <t>Se atendieron 566 solicitudes de publicación, modificación o actualización del Sitio Web y las redes sociales</t>
    </r>
    <r>
      <rPr>
        <sz val="11"/>
        <color theme="1"/>
        <rFont val="Arial Narrow"/>
        <family val="2"/>
      </rPr>
      <t xml:space="preserve"> desglosadas asi; enero (98), Febrero (120), marzo (181), Abril (167) dando alcance al procedimiento DIE PC 09 
8. </t>
    </r>
    <r>
      <rPr>
        <b/>
        <sz val="11"/>
        <color theme="1"/>
        <rFont val="Arial Narrow"/>
        <family val="2"/>
      </rPr>
      <t>Se realizaron 10 reuniones</t>
    </r>
    <r>
      <rPr>
        <sz val="11"/>
        <color theme="1"/>
        <rFont val="Arial Narrow"/>
        <family val="2"/>
      </rPr>
      <t xml:space="preserve"> de equipo denominadas tráfico de comunicaciones </t>
    </r>
    <r>
      <rPr>
        <b/>
        <sz val="11"/>
        <color theme="1"/>
        <rFont val="Arial Narrow"/>
        <family val="2"/>
      </rPr>
      <t>para verificar y validar el tráfico semanal del equipo de trabajo  en aras de fortalecer la comunicación interna del área</t>
    </r>
    <r>
      <rPr>
        <sz val="11"/>
        <color theme="1"/>
        <rFont val="Arial Narrow"/>
        <family val="2"/>
      </rPr>
      <t xml:space="preserve">, para socializar los pendientes y situaciones  en general que requieren oportunidad de mejora.
</t>
    </r>
  </si>
  <si>
    <t>En ejecución</t>
  </si>
  <si>
    <t>El control finalizó en el primer seguimiento, donde se ajustaron los valores de los tres proyectos de inversión de la ETITC a las necesidades misionales y de apoyo de la entidad.</t>
  </si>
  <si>
    <t>Finalizada</t>
  </si>
  <si>
    <t>https://www.etitc.edu.co/archives/seguimientopajun24.xlsx</t>
  </si>
  <si>
    <t>https://www.etitc.edu.co/archives/seguimientopijun2024.xlsx</t>
  </si>
  <si>
    <t>El profesional de la OAP realizó seguimiento al plan de acción con corte a junio de 2024, donde se evidenció la ejecución del presupuesto asignado por actvidad.</t>
  </si>
  <si>
    <t>Sede electrónica MinHacienda</t>
  </si>
  <si>
    <t>El control finalizó en el primer seguimiento.</t>
  </si>
  <si>
    <t>Durante el mes de julio se ejecutó el cronograma de seguimiento al plan de acción institucional con corte 30-06-2024 obteniendo como resultado un avance general del 82,4%. 
El respectivo seguimiento fue cargado en el aplicativo KAWAK y publicado en la página institucional.</t>
  </si>
  <si>
    <t xml:space="preserve"> Baja ejecución de procesos de movilidad</t>
  </si>
  <si>
    <t>No se realizan alianzas estratégicas y o convenios nacionales o internacionales</t>
  </si>
  <si>
    <t xml:space="preserve">Posibilidad de afectación reputacional debido a la baja ejecución de procesos de movilidad, debido a que no se buscan alianzas estratégicas.   
</t>
  </si>
  <si>
    <t xml:space="preserve">El lider de la ORII trimestralmente enviará el informe de seguimiento de resultados de convenios y redes a los supervisores responsables de cada convenio para verificar el cumplimiento adecuado de convenios.   </t>
  </si>
  <si>
    <t>1. Correos electrónicos 
2. Informe DIE-FO-06 "informe de seguimiento de resultados de convenios y redes"</t>
  </si>
  <si>
    <t>Verificar evidencias de ejecución mediante correos electrónicos y verificación de informe DIE-FO-06</t>
  </si>
  <si>
    <t>Líder de la ORII</t>
  </si>
  <si>
    <t>https://itceduco-my.sharepoint.com/:w:/g/personal/plandeaccion_itc_edu_co/EU8h4kedvy9CsVCWELALcYQBtOxlwtu00ZLW0uEkLPzTZA?e=QDmqq5</t>
  </si>
  <si>
    <t xml:space="preserve">Desde la Oficina Asesora de Planeación como 2° línea de defensa, evidencia la implementación de 9 estrategias de posicionamiento estrategico, desarrolladas desde la Oficina de Comunicaciones; se presenta como evidencia, la ejecución de la parrilla de contenido, como instrumento de materialización del manual de comunicaciones y la política de comunicaciones mencionalada en el Código de Buen Gobierno.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</si>
</sst>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u/>
      <sz val="11"/>
      <color theme="10"/>
      <name val="Calibri"/>
      <family val="2"/>
      <scheme val="minor"/>
    </font>
    <font>
      <i/>
      <sz val="11"/>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7">
    <xf numFmtId="0" fontId="0" fillId="0" borderId="0"/>
    <xf numFmtId="9" fontId="14" fillId="0" borderId="0" applyFont="0" applyFill="0" applyBorder="0" applyAlignment="0" applyProtection="0"/>
    <xf numFmtId="0" fontId="46" fillId="0" borderId="0"/>
    <xf numFmtId="0" fontId="47" fillId="0" borderId="0"/>
    <xf numFmtId="0" fontId="5" fillId="0" borderId="0"/>
    <xf numFmtId="43" fontId="14" fillId="0" borderId="0" applyFont="0" applyFill="0" applyBorder="0" applyAlignment="0" applyProtection="0"/>
    <xf numFmtId="0" fontId="67" fillId="0" borderId="0" applyNumberFormat="0" applyFill="0" applyBorder="0" applyAlignment="0" applyProtection="0"/>
  </cellStyleXfs>
  <cellXfs count="381">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68" xfId="0" applyFont="1" applyBorder="1" applyAlignment="1">
      <alignment horizontal="center" vertical="center" wrapText="1"/>
    </xf>
    <xf numFmtId="0" fontId="65" fillId="0" borderId="68" xfId="0" applyFont="1" applyBorder="1" applyAlignment="1">
      <alignment vertical="center" wrapText="1"/>
    </xf>
    <xf numFmtId="0" fontId="1" fillId="0" borderId="2" xfId="0" applyFont="1" applyBorder="1" applyAlignment="1">
      <alignment horizontal="center" vertical="center"/>
    </xf>
    <xf numFmtId="9" fontId="1" fillId="0" borderId="21" xfId="0" applyNumberFormat="1" applyFont="1" applyBorder="1" applyAlignment="1" applyProtection="1">
      <alignment horizontal="center" vertical="top" wrapText="1"/>
      <protection hidden="1"/>
    </xf>
    <xf numFmtId="0" fontId="61" fillId="7" borderId="21" xfId="0" applyFont="1" applyFill="1" applyBorder="1" applyAlignment="1">
      <alignment horizontal="center" vertical="center" textRotation="90"/>
    </xf>
    <xf numFmtId="9" fontId="1" fillId="0" borderId="21" xfId="0" applyNumberFormat="1" applyFont="1" applyBorder="1" applyAlignment="1" applyProtection="1">
      <alignment vertical="top" wrapText="1"/>
      <protection hidden="1"/>
    </xf>
    <xf numFmtId="0" fontId="1" fillId="0" borderId="21" xfId="0"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protection locked="0"/>
    </xf>
    <xf numFmtId="9" fontId="1" fillId="0" borderId="21" xfId="0" applyNumberFormat="1" applyFont="1" applyBorder="1" applyAlignment="1" applyProtection="1">
      <alignment horizontal="center" vertical="top" wrapText="1"/>
      <protection locked="0"/>
    </xf>
    <xf numFmtId="0" fontId="1" fillId="0" borderId="21" xfId="0" applyFont="1" applyBorder="1" applyAlignment="1">
      <alignment horizontal="center" vertical="top"/>
    </xf>
    <xf numFmtId="0" fontId="1" fillId="0" borderId="21" xfId="0" applyFont="1" applyBorder="1" applyAlignment="1" applyProtection="1">
      <alignment horizontal="center" vertical="top"/>
      <protection hidden="1"/>
    </xf>
    <xf numFmtId="43" fontId="1" fillId="3" borderId="0" xfId="5" applyFont="1" applyFill="1"/>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top" wrapText="1"/>
      <protection locked="0"/>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left" vertical="center" wrapText="1"/>
      <protection locked="0"/>
    </xf>
    <xf numFmtId="0" fontId="1" fillId="0" borderId="21" xfId="0" applyFont="1" applyBorder="1" applyAlignment="1" applyProtection="1">
      <alignment horizontal="center" vertical="center" textRotation="90"/>
      <protection locked="0"/>
    </xf>
    <xf numFmtId="0" fontId="67" fillId="0" borderId="21" xfId="6" applyBorder="1" applyAlignment="1" applyProtection="1">
      <alignment horizontal="center" vertical="center" wrapText="1"/>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wrapText="1"/>
    </xf>
    <xf numFmtId="0" fontId="60" fillId="7" borderId="66" xfId="0" applyFont="1" applyFill="1" applyBorder="1" applyAlignment="1">
      <alignment horizontal="center" vertical="center"/>
    </xf>
    <xf numFmtId="0" fontId="60" fillId="7" borderId="67"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1" fillId="7" borderId="69" xfId="0" applyFont="1" applyFill="1" applyBorder="1" applyAlignment="1">
      <alignment horizontal="center" vertical="center" wrapText="1"/>
    </xf>
    <xf numFmtId="0" fontId="61" fillId="7" borderId="22" xfId="0" applyFont="1" applyFill="1" applyBorder="1" applyAlignment="1">
      <alignment horizontal="center" vertical="center" wrapText="1"/>
    </xf>
    <xf numFmtId="0" fontId="65" fillId="0" borderId="68" xfId="0" applyFont="1" applyBorder="1" applyAlignment="1">
      <alignment horizontal="center" vertical="center" wrapText="1"/>
    </xf>
    <xf numFmtId="0" fontId="66" fillId="0" borderId="68" xfId="0" applyFont="1" applyBorder="1" applyAlignment="1">
      <alignment horizontal="center" vertical="center" wrapText="1"/>
    </xf>
    <xf numFmtId="0" fontId="49" fillId="0" borderId="66" xfId="0" applyFont="1" applyBorder="1" applyAlignment="1">
      <alignment horizontal="left" vertical="center" wrapText="1"/>
    </xf>
    <xf numFmtId="0" fontId="49" fillId="0" borderId="65" xfId="0" applyFont="1" applyBorder="1" applyAlignment="1">
      <alignment horizontal="left" vertical="center" wrapText="1"/>
    </xf>
    <xf numFmtId="0" fontId="49" fillId="0" borderId="67" xfId="0" applyFont="1" applyBorder="1" applyAlignment="1">
      <alignment horizontal="left" vertical="center" wrapText="1"/>
    </xf>
    <xf numFmtId="0" fontId="1" fillId="0" borderId="2" xfId="0" applyFont="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64" fillId="0" borderId="21" xfId="0" applyFont="1" applyBorder="1" applyAlignment="1">
      <alignment horizontal="left" vertical="center"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57" fillId="0" borderId="21" xfId="0" applyFont="1" applyBorder="1" applyAlignment="1">
      <alignment horizontal="left" vertical="center"/>
    </xf>
    <xf numFmtId="0" fontId="62" fillId="0" borderId="66" xfId="0" applyFont="1" applyBorder="1" applyAlignment="1">
      <alignment horizontal="left" vertical="center"/>
    </xf>
    <xf numFmtId="0" fontId="62" fillId="0" borderId="65" xfId="0" applyFont="1" applyBorder="1" applyAlignment="1">
      <alignment horizontal="left" vertical="center"/>
    </xf>
    <xf numFmtId="0" fontId="62" fillId="0" borderId="67" xfId="0" applyFont="1" applyBorder="1" applyAlignment="1">
      <alignment horizontal="left" vertical="center"/>
    </xf>
    <xf numFmtId="0" fontId="62" fillId="0" borderId="66" xfId="0" applyFont="1" applyBorder="1" applyAlignment="1">
      <alignment horizontal="left"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7">
    <cellStyle name="Hipervínculo" xfId="6" builtinId="8"/>
    <cellStyle name="Millares" xfId="5" builtinId="3"/>
    <cellStyle name="Normal" xfId="0" builtinId="0"/>
    <cellStyle name="Normal - Style1 2" xfId="2"/>
    <cellStyle name="Normal 2" xfId="4"/>
    <cellStyle name="Normal 2 2" xfId="3"/>
    <cellStyle name="Porcentaje" xfId="1" builtinId="5"/>
  </cellStyles>
  <dxfs count="6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809203</xdr:colOff>
      <xdr:row>0</xdr:row>
      <xdr:rowOff>66303</xdr:rowOff>
    </xdr:from>
    <xdr:to>
      <xdr:col>3</xdr:col>
      <xdr:colOff>2071</xdr:colOff>
      <xdr:row>1</xdr:row>
      <xdr:rowOff>404219</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889" y="66303"/>
          <a:ext cx="813932"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esgos%20de%20Comunicaciones%20202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OR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titc.edu.co/archives/seguimientopajun24.xlsx" TargetMode="External"/><Relationship Id="rId2" Type="http://schemas.openxmlformats.org/officeDocument/2006/relationships/hyperlink" Target="https://www.etitc.edu.co/archives/seguimientopijun2024.xlsx" TargetMode="External"/><Relationship Id="rId1" Type="http://schemas.openxmlformats.org/officeDocument/2006/relationships/hyperlink" Target="https://www.etitc.edu.co/archives/seguimientopajun24.xlsx"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itceduco-my.sharepoint.com/:w:/g/personal/plandeaccion_itc_edu_co/EU8h4kedvy9CsVCWELALcYQBtOxlwtu00ZLW0uEkLPzTZA?e=QDmqq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86" t="s">
        <v>163</v>
      </c>
      <c r="C2" s="187"/>
      <c r="D2" s="187"/>
      <c r="E2" s="187"/>
      <c r="F2" s="187"/>
      <c r="G2" s="187"/>
      <c r="H2" s="188"/>
    </row>
    <row r="3" spans="2:8" x14ac:dyDescent="0.25">
      <c r="B3" s="76"/>
      <c r="C3" s="77"/>
      <c r="D3" s="77"/>
      <c r="E3" s="77"/>
      <c r="F3" s="77"/>
      <c r="G3" s="77"/>
      <c r="H3" s="78"/>
    </row>
    <row r="4" spans="2:8" ht="63" customHeight="1" x14ac:dyDescent="0.25">
      <c r="B4" s="189" t="s">
        <v>206</v>
      </c>
      <c r="C4" s="190"/>
      <c r="D4" s="190"/>
      <c r="E4" s="190"/>
      <c r="F4" s="190"/>
      <c r="G4" s="190"/>
      <c r="H4" s="191"/>
    </row>
    <row r="5" spans="2:8" ht="63" customHeight="1" x14ac:dyDescent="0.25">
      <c r="B5" s="192"/>
      <c r="C5" s="193"/>
      <c r="D5" s="193"/>
      <c r="E5" s="193"/>
      <c r="F5" s="193"/>
      <c r="G5" s="193"/>
      <c r="H5" s="194"/>
    </row>
    <row r="6" spans="2:8" ht="16.5" x14ac:dyDescent="0.25">
      <c r="B6" s="195" t="s">
        <v>161</v>
      </c>
      <c r="C6" s="196"/>
      <c r="D6" s="196"/>
      <c r="E6" s="196"/>
      <c r="F6" s="196"/>
      <c r="G6" s="196"/>
      <c r="H6" s="197"/>
    </row>
    <row r="7" spans="2:8" ht="95.25" customHeight="1" x14ac:dyDescent="0.25">
      <c r="B7" s="205" t="s">
        <v>166</v>
      </c>
      <c r="C7" s="206"/>
      <c r="D7" s="206"/>
      <c r="E7" s="206"/>
      <c r="F7" s="206"/>
      <c r="G7" s="206"/>
      <c r="H7" s="207"/>
    </row>
    <row r="8" spans="2:8" ht="16.5" x14ac:dyDescent="0.25">
      <c r="B8" s="112"/>
      <c r="C8" s="113"/>
      <c r="D8" s="113"/>
      <c r="E8" s="113"/>
      <c r="F8" s="113"/>
      <c r="G8" s="113"/>
      <c r="H8" s="114"/>
    </row>
    <row r="9" spans="2:8" ht="16.5" customHeight="1" x14ac:dyDescent="0.25">
      <c r="B9" s="198" t="s">
        <v>199</v>
      </c>
      <c r="C9" s="199"/>
      <c r="D9" s="199"/>
      <c r="E9" s="199"/>
      <c r="F9" s="199"/>
      <c r="G9" s="199"/>
      <c r="H9" s="200"/>
    </row>
    <row r="10" spans="2:8" ht="44.25" customHeight="1" x14ac:dyDescent="0.25">
      <c r="B10" s="198"/>
      <c r="C10" s="199"/>
      <c r="D10" s="199"/>
      <c r="E10" s="199"/>
      <c r="F10" s="199"/>
      <c r="G10" s="199"/>
      <c r="H10" s="200"/>
    </row>
    <row r="11" spans="2:8" ht="15.75" thickBot="1" x14ac:dyDescent="0.3">
      <c r="B11" s="101"/>
      <c r="C11" s="104"/>
      <c r="D11" s="109"/>
      <c r="E11" s="110"/>
      <c r="F11" s="110"/>
      <c r="G11" s="111"/>
      <c r="H11" s="105"/>
    </row>
    <row r="12" spans="2:8" ht="15.75" thickTop="1" x14ac:dyDescent="0.25">
      <c r="B12" s="101"/>
      <c r="C12" s="201" t="s">
        <v>162</v>
      </c>
      <c r="D12" s="202"/>
      <c r="E12" s="203" t="s">
        <v>200</v>
      </c>
      <c r="F12" s="204"/>
      <c r="G12" s="104"/>
      <c r="H12" s="105"/>
    </row>
    <row r="13" spans="2:8" ht="35.25" customHeight="1" x14ac:dyDescent="0.25">
      <c r="B13" s="101"/>
      <c r="C13" s="173" t="s">
        <v>193</v>
      </c>
      <c r="D13" s="174"/>
      <c r="E13" s="175" t="s">
        <v>198</v>
      </c>
      <c r="F13" s="176"/>
      <c r="G13" s="104"/>
      <c r="H13" s="105"/>
    </row>
    <row r="14" spans="2:8" ht="17.25" customHeight="1" x14ac:dyDescent="0.25">
      <c r="B14" s="101"/>
      <c r="C14" s="173" t="s">
        <v>194</v>
      </c>
      <c r="D14" s="174"/>
      <c r="E14" s="175" t="s">
        <v>196</v>
      </c>
      <c r="F14" s="176"/>
      <c r="G14" s="104"/>
      <c r="H14" s="105"/>
    </row>
    <row r="15" spans="2:8" ht="19.5" customHeight="1" x14ac:dyDescent="0.25">
      <c r="B15" s="101"/>
      <c r="C15" s="173" t="s">
        <v>195</v>
      </c>
      <c r="D15" s="174"/>
      <c r="E15" s="175" t="s">
        <v>197</v>
      </c>
      <c r="F15" s="176"/>
      <c r="G15" s="104"/>
      <c r="H15" s="105"/>
    </row>
    <row r="16" spans="2:8" ht="69.75" customHeight="1" x14ac:dyDescent="0.25">
      <c r="B16" s="101"/>
      <c r="C16" s="173" t="s">
        <v>164</v>
      </c>
      <c r="D16" s="174"/>
      <c r="E16" s="175" t="s">
        <v>165</v>
      </c>
      <c r="F16" s="176"/>
      <c r="G16" s="104"/>
      <c r="H16" s="105"/>
    </row>
    <row r="17" spans="2:8" ht="34.5" customHeight="1" x14ac:dyDescent="0.25">
      <c r="B17" s="101"/>
      <c r="C17" s="177" t="s">
        <v>2</v>
      </c>
      <c r="D17" s="178"/>
      <c r="E17" s="169" t="s">
        <v>207</v>
      </c>
      <c r="F17" s="170"/>
      <c r="G17" s="104"/>
      <c r="H17" s="105"/>
    </row>
    <row r="18" spans="2:8" ht="27.75" customHeight="1" x14ac:dyDescent="0.25">
      <c r="B18" s="101"/>
      <c r="C18" s="177" t="s">
        <v>3</v>
      </c>
      <c r="D18" s="178"/>
      <c r="E18" s="169" t="s">
        <v>208</v>
      </c>
      <c r="F18" s="170"/>
      <c r="G18" s="104"/>
      <c r="H18" s="105"/>
    </row>
    <row r="19" spans="2:8" ht="28.5" customHeight="1" x14ac:dyDescent="0.25">
      <c r="B19" s="101"/>
      <c r="C19" s="177" t="s">
        <v>41</v>
      </c>
      <c r="D19" s="178"/>
      <c r="E19" s="169" t="s">
        <v>209</v>
      </c>
      <c r="F19" s="170"/>
      <c r="G19" s="104"/>
      <c r="H19" s="105"/>
    </row>
    <row r="20" spans="2:8" ht="72.75" customHeight="1" x14ac:dyDescent="0.25">
      <c r="B20" s="101"/>
      <c r="C20" s="177" t="s">
        <v>1</v>
      </c>
      <c r="D20" s="178"/>
      <c r="E20" s="169" t="s">
        <v>210</v>
      </c>
      <c r="F20" s="170"/>
      <c r="G20" s="104"/>
      <c r="H20" s="105"/>
    </row>
    <row r="21" spans="2:8" ht="64.5" customHeight="1" x14ac:dyDescent="0.25">
      <c r="B21" s="101"/>
      <c r="C21" s="177" t="s">
        <v>49</v>
      </c>
      <c r="D21" s="178"/>
      <c r="E21" s="169" t="s">
        <v>168</v>
      </c>
      <c r="F21" s="170"/>
      <c r="G21" s="104"/>
      <c r="H21" s="105"/>
    </row>
    <row r="22" spans="2:8" ht="71.25" customHeight="1" x14ac:dyDescent="0.25">
      <c r="B22" s="101"/>
      <c r="C22" s="177" t="s">
        <v>167</v>
      </c>
      <c r="D22" s="178"/>
      <c r="E22" s="169" t="s">
        <v>169</v>
      </c>
      <c r="F22" s="170"/>
      <c r="G22" s="104"/>
      <c r="H22" s="105"/>
    </row>
    <row r="23" spans="2:8" ht="55.5" customHeight="1" x14ac:dyDescent="0.25">
      <c r="B23" s="101"/>
      <c r="C23" s="171" t="s">
        <v>170</v>
      </c>
      <c r="D23" s="172"/>
      <c r="E23" s="169" t="s">
        <v>171</v>
      </c>
      <c r="F23" s="170"/>
      <c r="G23" s="104"/>
      <c r="H23" s="105"/>
    </row>
    <row r="24" spans="2:8" ht="42" customHeight="1" x14ac:dyDescent="0.25">
      <c r="B24" s="101"/>
      <c r="C24" s="171" t="s">
        <v>47</v>
      </c>
      <c r="D24" s="172"/>
      <c r="E24" s="169" t="s">
        <v>172</v>
      </c>
      <c r="F24" s="170"/>
      <c r="G24" s="104"/>
      <c r="H24" s="105"/>
    </row>
    <row r="25" spans="2:8" ht="59.25" customHeight="1" x14ac:dyDescent="0.25">
      <c r="B25" s="101"/>
      <c r="C25" s="171" t="s">
        <v>160</v>
      </c>
      <c r="D25" s="172"/>
      <c r="E25" s="169" t="s">
        <v>173</v>
      </c>
      <c r="F25" s="170"/>
      <c r="G25" s="104"/>
      <c r="H25" s="105"/>
    </row>
    <row r="26" spans="2:8" ht="23.25" customHeight="1" x14ac:dyDescent="0.25">
      <c r="B26" s="101"/>
      <c r="C26" s="171" t="s">
        <v>12</v>
      </c>
      <c r="D26" s="172"/>
      <c r="E26" s="169" t="s">
        <v>174</v>
      </c>
      <c r="F26" s="170"/>
      <c r="G26" s="104"/>
      <c r="H26" s="105"/>
    </row>
    <row r="27" spans="2:8" ht="30.75" customHeight="1" x14ac:dyDescent="0.25">
      <c r="B27" s="101"/>
      <c r="C27" s="171" t="s">
        <v>178</v>
      </c>
      <c r="D27" s="172"/>
      <c r="E27" s="169" t="s">
        <v>175</v>
      </c>
      <c r="F27" s="170"/>
      <c r="G27" s="104"/>
      <c r="H27" s="105"/>
    </row>
    <row r="28" spans="2:8" ht="35.25" customHeight="1" x14ac:dyDescent="0.25">
      <c r="B28" s="101"/>
      <c r="C28" s="171" t="s">
        <v>179</v>
      </c>
      <c r="D28" s="172"/>
      <c r="E28" s="169" t="s">
        <v>176</v>
      </c>
      <c r="F28" s="170"/>
      <c r="G28" s="104"/>
      <c r="H28" s="105"/>
    </row>
    <row r="29" spans="2:8" ht="33" customHeight="1" x14ac:dyDescent="0.25">
      <c r="B29" s="101"/>
      <c r="C29" s="171" t="s">
        <v>179</v>
      </c>
      <c r="D29" s="172"/>
      <c r="E29" s="169" t="s">
        <v>176</v>
      </c>
      <c r="F29" s="170"/>
      <c r="G29" s="104"/>
      <c r="H29" s="105"/>
    </row>
    <row r="30" spans="2:8" ht="30" customHeight="1" x14ac:dyDescent="0.25">
      <c r="B30" s="101"/>
      <c r="C30" s="171" t="s">
        <v>180</v>
      </c>
      <c r="D30" s="172"/>
      <c r="E30" s="169" t="s">
        <v>177</v>
      </c>
      <c r="F30" s="170"/>
      <c r="G30" s="104"/>
      <c r="H30" s="105"/>
    </row>
    <row r="31" spans="2:8" ht="35.25" customHeight="1" x14ac:dyDescent="0.25">
      <c r="B31" s="101"/>
      <c r="C31" s="171" t="s">
        <v>181</v>
      </c>
      <c r="D31" s="172"/>
      <c r="E31" s="169" t="s">
        <v>182</v>
      </c>
      <c r="F31" s="170"/>
      <c r="G31" s="104"/>
      <c r="H31" s="105"/>
    </row>
    <row r="32" spans="2:8" ht="31.5" customHeight="1" x14ac:dyDescent="0.25">
      <c r="B32" s="101"/>
      <c r="C32" s="171" t="s">
        <v>183</v>
      </c>
      <c r="D32" s="172"/>
      <c r="E32" s="169" t="s">
        <v>184</v>
      </c>
      <c r="F32" s="170"/>
      <c r="G32" s="104"/>
      <c r="H32" s="105"/>
    </row>
    <row r="33" spans="2:8" ht="35.25" customHeight="1" x14ac:dyDescent="0.25">
      <c r="B33" s="101"/>
      <c r="C33" s="171" t="s">
        <v>185</v>
      </c>
      <c r="D33" s="172"/>
      <c r="E33" s="169" t="s">
        <v>186</v>
      </c>
      <c r="F33" s="170"/>
      <c r="G33" s="104"/>
      <c r="H33" s="105"/>
    </row>
    <row r="34" spans="2:8" ht="59.25" customHeight="1" x14ac:dyDescent="0.25">
      <c r="B34" s="101"/>
      <c r="C34" s="171" t="s">
        <v>187</v>
      </c>
      <c r="D34" s="172"/>
      <c r="E34" s="169" t="s">
        <v>188</v>
      </c>
      <c r="F34" s="170"/>
      <c r="G34" s="104"/>
      <c r="H34" s="105"/>
    </row>
    <row r="35" spans="2:8" ht="29.25" customHeight="1" x14ac:dyDescent="0.25">
      <c r="B35" s="101"/>
      <c r="C35" s="171" t="s">
        <v>29</v>
      </c>
      <c r="D35" s="172"/>
      <c r="E35" s="169" t="s">
        <v>189</v>
      </c>
      <c r="F35" s="170"/>
      <c r="G35" s="104"/>
      <c r="H35" s="105"/>
    </row>
    <row r="36" spans="2:8" ht="82.5" customHeight="1" x14ac:dyDescent="0.25">
      <c r="B36" s="101"/>
      <c r="C36" s="171" t="s">
        <v>191</v>
      </c>
      <c r="D36" s="172"/>
      <c r="E36" s="169" t="s">
        <v>190</v>
      </c>
      <c r="F36" s="170"/>
      <c r="G36" s="104"/>
      <c r="H36" s="105"/>
    </row>
    <row r="37" spans="2:8" ht="46.5" customHeight="1" x14ac:dyDescent="0.25">
      <c r="B37" s="101"/>
      <c r="C37" s="171" t="s">
        <v>38</v>
      </c>
      <c r="D37" s="172"/>
      <c r="E37" s="169" t="s">
        <v>192</v>
      </c>
      <c r="F37" s="170"/>
      <c r="G37" s="104"/>
      <c r="H37" s="105"/>
    </row>
    <row r="38" spans="2:8" ht="6.75" customHeight="1" thickBot="1" x14ac:dyDescent="0.3">
      <c r="B38" s="101"/>
      <c r="C38" s="182"/>
      <c r="D38" s="183"/>
      <c r="E38" s="184"/>
      <c r="F38" s="185"/>
      <c r="G38" s="104"/>
      <c r="H38" s="105"/>
    </row>
    <row r="39" spans="2:8" ht="15.75" thickTop="1" x14ac:dyDescent="0.25">
      <c r="B39" s="101"/>
      <c r="C39" s="102"/>
      <c r="D39" s="102"/>
      <c r="E39" s="103"/>
      <c r="F39" s="103"/>
      <c r="G39" s="104"/>
      <c r="H39" s="105"/>
    </row>
    <row r="40" spans="2:8" ht="21" customHeight="1" x14ac:dyDescent="0.25">
      <c r="B40" s="179" t="s">
        <v>201</v>
      </c>
      <c r="C40" s="180"/>
      <c r="D40" s="180"/>
      <c r="E40" s="180"/>
      <c r="F40" s="180"/>
      <c r="G40" s="180"/>
      <c r="H40" s="181"/>
    </row>
    <row r="41" spans="2:8" ht="20.25" customHeight="1" x14ac:dyDescent="0.25">
      <c r="B41" s="179" t="s">
        <v>202</v>
      </c>
      <c r="C41" s="180"/>
      <c r="D41" s="180"/>
      <c r="E41" s="180"/>
      <c r="F41" s="180"/>
      <c r="G41" s="180"/>
      <c r="H41" s="181"/>
    </row>
    <row r="42" spans="2:8" ht="20.25" customHeight="1" x14ac:dyDescent="0.25">
      <c r="B42" s="179" t="s">
        <v>203</v>
      </c>
      <c r="C42" s="180"/>
      <c r="D42" s="180"/>
      <c r="E42" s="180"/>
      <c r="F42" s="180"/>
      <c r="G42" s="180"/>
      <c r="H42" s="181"/>
    </row>
    <row r="43" spans="2:8" ht="20.25" customHeight="1" x14ac:dyDescent="0.25">
      <c r="B43" s="179" t="s">
        <v>204</v>
      </c>
      <c r="C43" s="180"/>
      <c r="D43" s="180"/>
      <c r="E43" s="180"/>
      <c r="F43" s="180"/>
      <c r="G43" s="180"/>
      <c r="H43" s="181"/>
    </row>
    <row r="44" spans="2:8" x14ac:dyDescent="0.25">
      <c r="B44" s="179" t="s">
        <v>205</v>
      </c>
      <c r="C44" s="180"/>
      <c r="D44" s="180"/>
      <c r="E44" s="180"/>
      <c r="F44" s="180"/>
      <c r="G44" s="180"/>
      <c r="H44" s="181"/>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W23"/>
  <sheetViews>
    <sheetView showGridLines="0" tabSelected="1" topLeftCell="AK6" zoomScale="59" zoomScaleNormal="85" workbookViewId="0">
      <pane ySplit="5" topLeftCell="A15" activePane="bottomLeft" state="frozen"/>
      <selection activeCell="M6" sqref="M6"/>
      <selection pane="bottomLeft" activeCell="AQ15" sqref="AQ15"/>
    </sheetView>
  </sheetViews>
  <sheetFormatPr baseColWidth="10" defaultColWidth="11.42578125" defaultRowHeight="35.1" customHeight="1" x14ac:dyDescent="0.3"/>
  <cols>
    <col min="1" max="1" width="4.7109375" style="2" customWidth="1"/>
    <col min="2" max="2" width="12" style="2" customWidth="1"/>
    <col min="3" max="3" width="12" style="162"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37.28515625" style="1" customWidth="1"/>
    <col min="21" max="21" width="31" style="1" customWidth="1"/>
    <col min="22" max="22" width="15.140625" style="1" bestFit="1" customWidth="1"/>
    <col min="23" max="23" width="6.7109375" style="1" hidden="1" customWidth="1"/>
    <col min="24" max="24" width="5" style="1" hidden="1" customWidth="1"/>
    <col min="25" max="25" width="5.42578125" style="1" hidden="1" customWidth="1"/>
    <col min="26" max="26" width="7.140625" style="1" hidden="1" customWidth="1"/>
    <col min="27" max="27" width="6.7109375" style="1" hidden="1" customWidth="1"/>
    <col min="28" max="29" width="7.42578125" style="1" hidden="1" customWidth="1"/>
    <col min="30" max="30" width="8.7109375" style="1" hidden="1" customWidth="1"/>
    <col min="31" max="31" width="10.42578125" style="1" hidden="1" customWidth="1"/>
    <col min="32" max="32" width="9.28515625" style="1" hidden="1" customWidth="1"/>
    <col min="33" max="33" width="9.140625" style="1" hidden="1" customWidth="1"/>
    <col min="34" max="34" width="8.42578125" style="1" hidden="1" customWidth="1"/>
    <col min="35" max="35" width="7.28515625" style="1" hidden="1" customWidth="1"/>
    <col min="36" max="36" width="23" style="1" customWidth="1"/>
    <col min="37" max="37" width="18.7109375" style="1" customWidth="1"/>
    <col min="38" max="38" width="16.7109375" style="1" customWidth="1"/>
    <col min="39" max="39" width="13.140625" style="1" customWidth="1"/>
    <col min="40" max="40" width="70.85546875" style="1" customWidth="1"/>
    <col min="41" max="41" width="21" style="1" customWidth="1"/>
    <col min="42" max="42" width="15" style="1" customWidth="1"/>
    <col min="43" max="43" width="60.85546875" style="1" customWidth="1"/>
    <col min="44" max="45" width="20.7109375" style="1" customWidth="1"/>
    <col min="46" max="46" width="15.42578125" style="1" customWidth="1"/>
    <col min="47" max="47" width="73.42578125" style="1" customWidth="1"/>
    <col min="48" max="48" width="17.28515625" style="1" customWidth="1"/>
    <col min="49" max="51" width="11.42578125" style="1"/>
    <col min="52" max="52" width="13.5703125" style="1" bestFit="1" customWidth="1"/>
    <col min="53" max="16384" width="11.42578125" style="1"/>
  </cols>
  <sheetData>
    <row r="1" spans="1:127" ht="35.1" customHeight="1" x14ac:dyDescent="0.3">
      <c r="A1" s="224" t="s">
        <v>213</v>
      </c>
      <c r="B1" s="224"/>
      <c r="C1" s="224"/>
      <c r="D1" s="224"/>
      <c r="E1" s="226" t="s">
        <v>214</v>
      </c>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7" t="s">
        <v>215</v>
      </c>
      <c r="AV1" s="227"/>
    </row>
    <row r="2" spans="1:127" ht="35.1" customHeight="1" x14ac:dyDescent="0.3">
      <c r="A2" s="224"/>
      <c r="B2" s="224"/>
      <c r="C2" s="224"/>
      <c r="D2" s="224"/>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7" t="s">
        <v>222</v>
      </c>
      <c r="AV2" s="227"/>
    </row>
    <row r="3" spans="1:127" ht="35.1" customHeight="1" x14ac:dyDescent="0.3">
      <c r="A3" s="224"/>
      <c r="B3" s="224"/>
      <c r="C3" s="224"/>
      <c r="D3" s="224"/>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7" t="s">
        <v>223</v>
      </c>
      <c r="AV3" s="227"/>
    </row>
    <row r="4" spans="1:127" ht="35.1" customHeight="1" x14ac:dyDescent="0.3">
      <c r="A4" s="224"/>
      <c r="B4" s="224"/>
      <c r="C4" s="224"/>
      <c r="D4" s="224"/>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7" t="s">
        <v>216</v>
      </c>
      <c r="AV4" s="227"/>
    </row>
    <row r="5" spans="1:127" ht="35.1" customHeight="1" x14ac:dyDescent="0.3">
      <c r="A5" s="210" t="s">
        <v>42</v>
      </c>
      <c r="B5" s="211"/>
      <c r="C5" s="228" t="s">
        <v>254</v>
      </c>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30"/>
      <c r="AW5" s="5"/>
      <c r="AX5" s="5"/>
      <c r="AY5" s="5"/>
      <c r="AZ5" s="5"/>
      <c r="BA5" s="5"/>
      <c r="BB5" s="5"/>
    </row>
    <row r="6" spans="1:127" ht="21" customHeight="1" x14ac:dyDescent="0.3">
      <c r="A6" s="210" t="s">
        <v>129</v>
      </c>
      <c r="B6" s="211"/>
      <c r="C6" s="231" t="s">
        <v>255</v>
      </c>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30"/>
      <c r="AW6" s="5"/>
      <c r="AX6" s="5"/>
      <c r="AY6" s="5"/>
      <c r="AZ6" s="5"/>
      <c r="BA6" s="5"/>
      <c r="BB6" s="5"/>
    </row>
    <row r="7" spans="1:127" ht="14.25" customHeight="1" x14ac:dyDescent="0.3">
      <c r="A7" s="210" t="s">
        <v>43</v>
      </c>
      <c r="B7" s="211"/>
      <c r="C7" s="228" t="s">
        <v>256</v>
      </c>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30"/>
      <c r="AW7" s="5"/>
      <c r="AX7" s="5"/>
      <c r="AY7" s="5"/>
      <c r="AZ7" s="5"/>
      <c r="BA7" s="5"/>
      <c r="BB7" s="5"/>
    </row>
    <row r="8" spans="1:127" ht="35.1" customHeight="1" x14ac:dyDescent="0.3">
      <c r="A8" s="208" t="s">
        <v>138</v>
      </c>
      <c r="B8" s="208"/>
      <c r="C8" s="208"/>
      <c r="D8" s="208"/>
      <c r="E8" s="208"/>
      <c r="F8" s="208"/>
      <c r="G8" s="208"/>
      <c r="H8" s="208"/>
      <c r="I8" s="208"/>
      <c r="J8" s="208"/>
      <c r="K8" s="208"/>
      <c r="L8" s="208" t="s">
        <v>139</v>
      </c>
      <c r="M8" s="208"/>
      <c r="N8" s="208"/>
      <c r="O8" s="208"/>
      <c r="P8" s="208"/>
      <c r="Q8" s="208"/>
      <c r="R8" s="208"/>
      <c r="S8" s="208" t="s">
        <v>140</v>
      </c>
      <c r="T8" s="208"/>
      <c r="U8" s="208"/>
      <c r="V8" s="208"/>
      <c r="W8" s="208"/>
      <c r="X8" s="208"/>
      <c r="Y8" s="208"/>
      <c r="Z8" s="208"/>
      <c r="AA8" s="208"/>
      <c r="AB8" s="208"/>
      <c r="AC8" s="208" t="s">
        <v>141</v>
      </c>
      <c r="AD8" s="208"/>
      <c r="AE8" s="208"/>
      <c r="AF8" s="208"/>
      <c r="AG8" s="208"/>
      <c r="AH8" s="208"/>
      <c r="AI8" s="208"/>
      <c r="AJ8" s="208" t="s">
        <v>34</v>
      </c>
      <c r="AK8" s="208"/>
      <c r="AL8" s="208"/>
      <c r="AM8" s="208"/>
      <c r="AN8" s="208"/>
      <c r="AO8" s="208"/>
      <c r="AP8" s="208"/>
      <c r="AQ8" s="208"/>
      <c r="AR8" s="208"/>
      <c r="AS8" s="208"/>
      <c r="AT8" s="208"/>
      <c r="AU8" s="208"/>
      <c r="AV8" s="208"/>
      <c r="AW8" s="5"/>
      <c r="AX8" s="5"/>
      <c r="AY8" s="5"/>
      <c r="AZ8" s="5"/>
      <c r="BA8" s="5"/>
      <c r="BB8" s="5"/>
    </row>
    <row r="9" spans="1:127" ht="15" customHeight="1" x14ac:dyDescent="0.3">
      <c r="A9" s="225" t="s">
        <v>0</v>
      </c>
      <c r="B9" s="208" t="s">
        <v>13</v>
      </c>
      <c r="C9" s="209" t="s">
        <v>236</v>
      </c>
      <c r="D9" s="208" t="s">
        <v>2</v>
      </c>
      <c r="E9" s="209" t="s">
        <v>3</v>
      </c>
      <c r="F9" s="209" t="s">
        <v>41</v>
      </c>
      <c r="G9" s="208" t="s">
        <v>1</v>
      </c>
      <c r="H9" s="209" t="s">
        <v>49</v>
      </c>
      <c r="I9" s="209" t="s">
        <v>252</v>
      </c>
      <c r="J9" s="209" t="s">
        <v>253</v>
      </c>
      <c r="K9" s="209" t="s">
        <v>134</v>
      </c>
      <c r="L9" s="209" t="s">
        <v>33</v>
      </c>
      <c r="M9" s="208" t="s">
        <v>5</v>
      </c>
      <c r="N9" s="209" t="s">
        <v>86</v>
      </c>
      <c r="O9" s="209" t="s">
        <v>91</v>
      </c>
      <c r="P9" s="209" t="s">
        <v>44</v>
      </c>
      <c r="Q9" s="208" t="s">
        <v>5</v>
      </c>
      <c r="R9" s="209" t="s">
        <v>47</v>
      </c>
      <c r="S9" s="212" t="s">
        <v>11</v>
      </c>
      <c r="T9" s="209" t="s">
        <v>160</v>
      </c>
      <c r="U9" s="209" t="s">
        <v>212</v>
      </c>
      <c r="V9" s="209" t="s">
        <v>12</v>
      </c>
      <c r="W9" s="209" t="s">
        <v>8</v>
      </c>
      <c r="X9" s="209"/>
      <c r="Y9" s="209"/>
      <c r="Z9" s="209"/>
      <c r="AA9" s="209"/>
      <c r="AB9" s="209"/>
      <c r="AC9" s="212" t="s">
        <v>137</v>
      </c>
      <c r="AD9" s="212" t="s">
        <v>45</v>
      </c>
      <c r="AE9" s="212" t="s">
        <v>5</v>
      </c>
      <c r="AF9" s="212" t="s">
        <v>46</v>
      </c>
      <c r="AG9" s="212" t="s">
        <v>5</v>
      </c>
      <c r="AH9" s="212" t="s">
        <v>48</v>
      </c>
      <c r="AI9" s="212" t="s">
        <v>29</v>
      </c>
      <c r="AJ9" s="209" t="s">
        <v>34</v>
      </c>
      <c r="AK9" s="209" t="s">
        <v>35</v>
      </c>
      <c r="AL9" s="209" t="s">
        <v>36</v>
      </c>
      <c r="AM9" s="209" t="s">
        <v>37</v>
      </c>
      <c r="AN9" s="209" t="s">
        <v>224</v>
      </c>
      <c r="AO9" s="209" t="s">
        <v>38</v>
      </c>
      <c r="AP9" s="209" t="s">
        <v>37</v>
      </c>
      <c r="AQ9" s="209" t="s">
        <v>225</v>
      </c>
      <c r="AR9" s="209" t="s">
        <v>38</v>
      </c>
      <c r="AS9" s="213" t="s">
        <v>288</v>
      </c>
      <c r="AT9" s="209" t="s">
        <v>37</v>
      </c>
      <c r="AU9" s="209" t="s">
        <v>226</v>
      </c>
      <c r="AV9" s="209" t="s">
        <v>38</v>
      </c>
      <c r="AW9" s="5"/>
      <c r="AX9" s="5"/>
      <c r="AY9" s="5"/>
      <c r="AZ9" s="5"/>
      <c r="BA9" s="5"/>
      <c r="BB9" s="5"/>
    </row>
    <row r="10" spans="1:127" s="3" customFormat="1" ht="22.5" customHeight="1" x14ac:dyDescent="0.3">
      <c r="A10" s="225"/>
      <c r="B10" s="208"/>
      <c r="C10" s="209"/>
      <c r="D10" s="208"/>
      <c r="E10" s="209"/>
      <c r="F10" s="209"/>
      <c r="G10" s="208"/>
      <c r="H10" s="209"/>
      <c r="I10" s="209"/>
      <c r="J10" s="209"/>
      <c r="K10" s="209"/>
      <c r="L10" s="209"/>
      <c r="M10" s="208"/>
      <c r="N10" s="209"/>
      <c r="O10" s="209"/>
      <c r="P10" s="208"/>
      <c r="Q10" s="208"/>
      <c r="R10" s="209"/>
      <c r="S10" s="212"/>
      <c r="T10" s="209"/>
      <c r="U10" s="209"/>
      <c r="V10" s="209"/>
      <c r="W10" s="150" t="s">
        <v>13</v>
      </c>
      <c r="X10" s="150" t="s">
        <v>17</v>
      </c>
      <c r="Y10" s="150" t="s">
        <v>28</v>
      </c>
      <c r="Z10" s="150" t="s">
        <v>18</v>
      </c>
      <c r="AA10" s="150" t="s">
        <v>21</v>
      </c>
      <c r="AB10" s="150" t="s">
        <v>24</v>
      </c>
      <c r="AC10" s="212"/>
      <c r="AD10" s="212"/>
      <c r="AE10" s="212"/>
      <c r="AF10" s="212"/>
      <c r="AG10" s="212"/>
      <c r="AH10" s="212"/>
      <c r="AI10" s="212"/>
      <c r="AJ10" s="209"/>
      <c r="AK10" s="209"/>
      <c r="AL10" s="209"/>
      <c r="AM10" s="209"/>
      <c r="AN10" s="209"/>
      <c r="AO10" s="209"/>
      <c r="AP10" s="209"/>
      <c r="AQ10" s="209"/>
      <c r="AR10" s="209"/>
      <c r="AS10" s="214"/>
      <c r="AT10" s="209"/>
      <c r="AU10" s="209"/>
      <c r="AV10" s="209"/>
      <c r="AW10" s="21"/>
      <c r="AX10" s="21"/>
      <c r="AY10" s="21"/>
      <c r="AZ10" s="21"/>
      <c r="BA10" s="21"/>
      <c r="BB10" s="2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row>
    <row r="11" spans="1:127" ht="284.25" customHeight="1" x14ac:dyDescent="0.3">
      <c r="A11" s="116">
        <v>1</v>
      </c>
      <c r="B11" s="116" t="s">
        <v>228</v>
      </c>
      <c r="C11" s="160" t="s">
        <v>240</v>
      </c>
      <c r="D11" s="117" t="s">
        <v>133</v>
      </c>
      <c r="E11" s="117" t="s">
        <v>258</v>
      </c>
      <c r="F11" s="117" t="s">
        <v>259</v>
      </c>
      <c r="G11" s="118" t="s">
        <v>275</v>
      </c>
      <c r="H11" s="117" t="s">
        <v>124</v>
      </c>
      <c r="I11" s="117" t="s">
        <v>245</v>
      </c>
      <c r="J11" s="117" t="s">
        <v>247</v>
      </c>
      <c r="K11" s="119">
        <v>2</v>
      </c>
      <c r="L11" s="120" t="str">
        <f>IF(K11&lt;=0,"",IF(K11&lt;=2,"Muy Baja",IF(K11&lt;=24,"Baja",IF(K11&lt;=500,"Media",IF(K11&lt;=5000,"Alta","Muy Alta")))))</f>
        <v>Muy Baja</v>
      </c>
      <c r="M11" s="121">
        <f>IF(L11="","",IF(L11="Muy Baja",0.2,IF(L11="Baja",0.4,IF(L11="Media",0.6,IF(L11="Alta",0.8,IF(L11="Muy Alta",1,))))))</f>
        <v>0.2</v>
      </c>
      <c r="N11" s="122" t="s">
        <v>149</v>
      </c>
      <c r="O11" s="151" t="str">
        <f>IF(NOT(ISERROR(MATCH(N11,'Tabla Impacto'!$B$221:$B$223,0))),'Tabla Impacto'!$F$223&amp;"Por favor no seleccionar los criterios de impacto(Afectación Económica o presupuestal y Pérdida Reputacional)",N11)</f>
        <v xml:space="preserve">     Mayor a 500 SMLMV </v>
      </c>
      <c r="P11" s="120" t="str">
        <f>IF(OR(O11='Tabla Impacto'!$C$11,O11='Tabla Impacto'!$D$11),"Leve",IF(OR(O11='Tabla Impacto'!$C$12,O11='Tabla Impacto'!$D$12),"Menor",IF(OR(O11='Tabla Impacto'!$C$13,O11='Tabla Impacto'!$D$13),"Moderado",IF(OR(O11='Tabla Impacto'!$C$14,O11='Tabla Impacto'!$D$14),"Mayor",IF(OR(O11='Tabla Impacto'!$C$15,O11='Tabla Impacto'!$D$15),"Catastrófico","")))))</f>
        <v>Catastrófico</v>
      </c>
      <c r="Q11" s="121">
        <f>IF(P11="","",IF(P11="Leve",0.2,IF(P11="Menor",0.4,IF(P11="Moderado",0.6,IF(P11="Mayor",0.8,IF(P11="Catastrófico",1,))))))</f>
        <v>1</v>
      </c>
      <c r="R11" s="123"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Extremo</v>
      </c>
      <c r="S11" s="116">
        <v>1</v>
      </c>
      <c r="T11" s="165" t="s">
        <v>293</v>
      </c>
      <c r="U11" s="166" t="s">
        <v>290</v>
      </c>
      <c r="V11" s="126" t="str">
        <f>IF(OR(W11="Preventivo",W11="Detectivo"),"Probabilidad",IF(W11="Correctivo","Impacto",""))</f>
        <v>Probabilidad</v>
      </c>
      <c r="W11" s="127" t="s">
        <v>14</v>
      </c>
      <c r="X11" s="127" t="s">
        <v>9</v>
      </c>
      <c r="Y11" s="128" t="str">
        <f>IF(AND(W11="Preventivo",X11="Automático"),"50%",IF(AND(W11="Preventivo",X11="Manual"),"40%",IF(AND(W11="Detectivo",X11="Automático"),"40%",IF(AND(W11="Detectivo",X11="Manual"),"30%",IF(AND(W11="Correctivo",X11="Automático"),"35%",IF(AND(W11="Correctivo",X11="Manual"),"25%",""))))))</f>
        <v>40%</v>
      </c>
      <c r="Z11" s="127" t="s">
        <v>19</v>
      </c>
      <c r="AA11" s="127" t="s">
        <v>22</v>
      </c>
      <c r="AB11" s="127" t="s">
        <v>118</v>
      </c>
      <c r="AC11" s="129">
        <f>IFERROR(IF(V11="Probabilidad",(M11-(+M11*Y11)),IF(V11="Impacto",M11,"")),"")</f>
        <v>0.12</v>
      </c>
      <c r="AD11" s="130" t="str">
        <f>IFERROR(IF(AC11="","",IF(AC11&lt;=0.2,"Muy Baja",IF(AC11&lt;=0.4,"Baja",IF(AC11&lt;=0.6,"Media",IF(AC11&lt;=0.8,"Alta","Muy Alta"))))),"")</f>
        <v>Muy Baja</v>
      </c>
      <c r="AE11" s="131">
        <f>+AC11</f>
        <v>0.12</v>
      </c>
      <c r="AF11" s="130" t="str">
        <f>IFERROR(IF(AG11="","",IF(AG11&lt;=0.2,"Leve",IF(AG11&lt;=0.4,"Menor",IF(AG11&lt;=0.6,"Moderado",IF(AG11&lt;=0.8,"Mayor","Catastrófico"))))),"")</f>
        <v>Catastrófico</v>
      </c>
      <c r="AG11" s="131">
        <f>IFERROR(IF(V11="Impacto",(Q11-(+Q11*Y11)),IF(V11="Probabilidad",Q11,"")),"")</f>
        <v>1</v>
      </c>
      <c r="AH11" s="132"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Extremo</v>
      </c>
      <c r="AI11" s="127" t="s">
        <v>135</v>
      </c>
      <c r="AJ11" s="117" t="s">
        <v>291</v>
      </c>
      <c r="AK11" s="159" t="s">
        <v>300</v>
      </c>
      <c r="AL11" s="159" t="s">
        <v>292</v>
      </c>
      <c r="AM11" s="159">
        <v>45422</v>
      </c>
      <c r="AN11" s="163" t="s">
        <v>297</v>
      </c>
      <c r="AO11" s="119" t="s">
        <v>306</v>
      </c>
      <c r="AP11" s="133">
        <v>45530</v>
      </c>
      <c r="AQ11" s="163" t="s">
        <v>307</v>
      </c>
      <c r="AR11" s="119" t="s">
        <v>308</v>
      </c>
      <c r="AS11" s="168" t="s">
        <v>310</v>
      </c>
      <c r="AT11" s="133">
        <v>45524</v>
      </c>
      <c r="AU11" s="117"/>
      <c r="AV11" s="119"/>
      <c r="AW11" s="5"/>
      <c r="AX11" s="5"/>
      <c r="AY11" s="5"/>
      <c r="AZ11" s="158"/>
      <c r="BA11" s="5"/>
      <c r="BB11" s="5"/>
    </row>
    <row r="12" spans="1:127" ht="213" customHeight="1" x14ac:dyDescent="0.3">
      <c r="A12" s="116">
        <v>2</v>
      </c>
      <c r="B12" s="116" t="s">
        <v>228</v>
      </c>
      <c r="C12" s="160" t="s">
        <v>240</v>
      </c>
      <c r="D12" s="117" t="s">
        <v>133</v>
      </c>
      <c r="E12" s="117" t="s">
        <v>263</v>
      </c>
      <c r="F12" s="117" t="s">
        <v>262</v>
      </c>
      <c r="G12" s="118" t="s">
        <v>269</v>
      </c>
      <c r="H12" s="117" t="s">
        <v>124</v>
      </c>
      <c r="I12" s="117" t="s">
        <v>245</v>
      </c>
      <c r="J12" s="117" t="s">
        <v>247</v>
      </c>
      <c r="K12" s="119">
        <v>2</v>
      </c>
      <c r="L12" s="120" t="str">
        <f>IF(K12&lt;=0,"",IF(K12&lt;=2,"Muy Baja",IF(K12&lt;=24,"Baja",IF(K12&lt;=500,"Media",IF(K12&lt;=5000,"Alta","Muy Alta")))))</f>
        <v>Muy Baja</v>
      </c>
      <c r="M12" s="121">
        <f>IF(L12="","",IF(L12="Muy Baja",0.2,IF(L12="Baja",0.4,IF(L12="Media",0.6,IF(L12="Alta",0.8,IF(L12="Muy Alta",1,))))))</f>
        <v>0.2</v>
      </c>
      <c r="N12" s="122" t="s">
        <v>149</v>
      </c>
      <c r="O12" s="151" t="str">
        <f>IF(NOT(ISERROR(MATCH(N12,_xlfn.ANCHORARRAY(#REF!),0))),#REF!&amp;"Por favor no seleccionar los criterios de impacto",N12)</f>
        <v xml:space="preserve">     Mayor a 500 SMLMV </v>
      </c>
      <c r="P12" s="120" t="str">
        <f>IF(OR(O12='Tabla Impacto'!$C$11,O12='Tabla Impacto'!$D$11),"Leve",IF(OR(O12='Tabla Impacto'!$C$12,O12='Tabla Impacto'!$D$12),"Menor",IF(OR(O12='Tabla Impacto'!$C$13,O12='Tabla Impacto'!$D$13),"Moderado",IF(OR(O12='Tabla Impacto'!$C$14,O12='Tabla Impacto'!$D$14),"Mayor",IF(OR(O12='Tabla Impacto'!$C$15,O12='Tabla Impacto'!$D$15),"Catastrófico","")))))</f>
        <v>Catastrófico</v>
      </c>
      <c r="Q12" s="121">
        <f>IF(P12="","",IF(P12="Leve",0.2,IF(P12="Menor",0.4,IF(P12="Moderado",0.6,IF(P12="Mayor",0.8,IF(P12="Catastrófico",1,))))))</f>
        <v>1</v>
      </c>
      <c r="R12" s="123"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Extremo</v>
      </c>
      <c r="S12" s="116">
        <v>1</v>
      </c>
      <c r="T12" s="124" t="s">
        <v>286</v>
      </c>
      <c r="U12" s="125" t="s">
        <v>264</v>
      </c>
      <c r="V12" s="126" t="str">
        <f>IF(OR(W12="Preventivo",W12="Detectivo"),"Probabilidad",IF(W12="Correctivo","Impacto",""))</f>
        <v>Probabilidad</v>
      </c>
      <c r="W12" s="127" t="s">
        <v>14</v>
      </c>
      <c r="X12" s="127" t="s">
        <v>10</v>
      </c>
      <c r="Y12" s="128" t="str">
        <f>IF(AND(W12="Preventivo",X12="Automático"),"50%",IF(AND(W12="Preventivo",X12="Manual"),"40%",IF(AND(W12="Detectivo",X12="Automático"),"40%",IF(AND(W12="Detectivo",X12="Manual"),"30%",IF(AND(W12="Correctivo",X12="Automático"),"35%",IF(AND(W12="Correctivo",X12="Manual"),"25%",""))))))</f>
        <v>50%</v>
      </c>
      <c r="Z12" s="127" t="s">
        <v>20</v>
      </c>
      <c r="AA12" s="127" t="s">
        <v>22</v>
      </c>
      <c r="AB12" s="127" t="s">
        <v>118</v>
      </c>
      <c r="AC12" s="129">
        <f>IFERROR(IF(V12="Probabilidad",(M12-(+M12*Y12)),IF(V12="Impacto",M12,"")),"")</f>
        <v>0.1</v>
      </c>
      <c r="AD12" s="130" t="str">
        <f>IFERROR(IF(AC12="","",IF(AC12&lt;=0.2,"Muy Baja",IF(AC12&lt;=0.4,"Baja",IF(AC12&lt;=0.6,"Media",IF(AC12&lt;=0.8,"Alta","Muy Alta"))))),"")</f>
        <v>Muy Baja</v>
      </c>
      <c r="AE12" s="131">
        <f>+AC12</f>
        <v>0.1</v>
      </c>
      <c r="AF12" s="130" t="str">
        <f>IFERROR(IF(AG12="","",IF(AG12&lt;=0.2,"Leve",IF(AG12&lt;=0.4,"Menor",IF(AG12&lt;=0.6,"Moderado",IF(AG12&lt;=0.8,"Mayor","Catastrófico"))))),"")</f>
        <v>Catastrófico</v>
      </c>
      <c r="AG12" s="131">
        <f>IFERROR(IF(V12="Impacto",(Q12-(+Q12*Y12)),IF(V12="Probabilidad",Q12,"")),"")</f>
        <v>1</v>
      </c>
      <c r="AH12" s="132"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Extremo</v>
      </c>
      <c r="AI12" s="127" t="s">
        <v>135</v>
      </c>
      <c r="AJ12" s="117" t="s">
        <v>298</v>
      </c>
      <c r="AK12" s="159" t="s">
        <v>300</v>
      </c>
      <c r="AL12" s="159" t="s">
        <v>279</v>
      </c>
      <c r="AM12" s="159">
        <v>45422</v>
      </c>
      <c r="AN12" s="163" t="s">
        <v>304</v>
      </c>
      <c r="AO12" s="119" t="s">
        <v>306</v>
      </c>
      <c r="AP12" s="133">
        <v>45530</v>
      </c>
      <c r="AQ12" s="163" t="s">
        <v>311</v>
      </c>
      <c r="AR12" s="119" t="s">
        <v>306</v>
      </c>
      <c r="AS12" s="168" t="s">
        <v>309</v>
      </c>
      <c r="AT12" s="133">
        <v>45524</v>
      </c>
      <c r="AU12" s="117"/>
      <c r="AV12" s="119"/>
      <c r="AW12" s="5"/>
      <c r="AX12" s="5"/>
      <c r="AY12" s="5"/>
      <c r="AZ12" s="5"/>
      <c r="BA12" s="5"/>
      <c r="BB12" s="5"/>
    </row>
    <row r="13" spans="1:127" ht="187.5" customHeight="1" x14ac:dyDescent="0.3">
      <c r="A13" s="116">
        <v>3</v>
      </c>
      <c r="B13" s="116" t="s">
        <v>230</v>
      </c>
      <c r="C13" s="160" t="s">
        <v>240</v>
      </c>
      <c r="D13" s="117" t="s">
        <v>132</v>
      </c>
      <c r="E13" s="117" t="s">
        <v>270</v>
      </c>
      <c r="F13" s="117" t="s">
        <v>265</v>
      </c>
      <c r="G13" s="118" t="s">
        <v>271</v>
      </c>
      <c r="H13" s="117" t="s">
        <v>127</v>
      </c>
      <c r="I13" s="117" t="s">
        <v>247</v>
      </c>
      <c r="J13" s="117" t="s">
        <v>247</v>
      </c>
      <c r="K13" s="119">
        <v>1</v>
      </c>
      <c r="L13" s="120" t="str">
        <f>IF(K13&lt;=0,"",IF(K13&lt;=2,"Muy Baja",IF(K13&lt;=24,"Baja",IF(K13&lt;=500,"Media",IF(K13&lt;=5000,"Alta","Muy Alta")))))</f>
        <v>Muy Baja</v>
      </c>
      <c r="M13" s="121">
        <f>IF(L13="","",IF(L13="Muy Baja",0.2,IF(L13="Baja",0.4,IF(L13="Media",0.6,IF(L13="Alta",0.8,IF(L13="Muy Alta",1,))))))</f>
        <v>0.2</v>
      </c>
      <c r="N13" s="122" t="s">
        <v>148</v>
      </c>
      <c r="O13" s="151" t="str">
        <f>IF(NOT(ISERROR(MATCH(N13,_xlfn.ANCHORARRAY(#REF!),0))),#REF!&amp;"Por favor no seleccionar los criterios de impacto",N13)</f>
        <v xml:space="preserve">     Entre 100 y 500 SMLMV </v>
      </c>
      <c r="P13" s="120" t="str">
        <f>IF(OR(O13='Tabla Impacto'!$C$11,O13='Tabla Impacto'!$D$11),"Leve",IF(OR(O13='Tabla Impacto'!$C$12,O13='Tabla Impacto'!$D$12),"Menor",IF(OR(O13='Tabla Impacto'!$C$13,O13='Tabla Impacto'!$D$13),"Moderado",IF(OR(O13='Tabla Impacto'!$C$14,O13='Tabla Impacto'!$D$14),"Mayor",IF(OR(O13='Tabla Impacto'!$C$15,O13='Tabla Impacto'!$D$15),"Catastrófico","")))))</f>
        <v>Mayor</v>
      </c>
      <c r="Q13" s="121">
        <f>IF(P13="","",IF(P13="Leve",0.2,IF(P13="Menor",0.4,IF(P13="Moderado",0.6,IF(P13="Mayor",0.8,IF(P13="Catastrófico",1,))))))</f>
        <v>0.8</v>
      </c>
      <c r="R13" s="123"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Alto</v>
      </c>
      <c r="S13" s="116">
        <v>1</v>
      </c>
      <c r="T13" s="165" t="s">
        <v>276</v>
      </c>
      <c r="U13" s="166" t="s">
        <v>277</v>
      </c>
      <c r="V13" s="126" t="str">
        <f>IF(OR(W13="Preventivo",W13="Detectivo"),"Probabilidad",IF(W13="Correctivo","Impacto",""))</f>
        <v>Probabilidad</v>
      </c>
      <c r="W13" s="127" t="s">
        <v>14</v>
      </c>
      <c r="X13" s="127" t="s">
        <v>9</v>
      </c>
      <c r="Y13" s="128" t="str">
        <f>IF(AND(W13="Preventivo",X13="Automático"),"50%",IF(AND(W13="Preventivo",X13="Manual"),"40%",IF(AND(W13="Detectivo",X13="Automático"),"40%",IF(AND(W13="Detectivo",X13="Manual"),"30%",IF(AND(W13="Correctivo",X13="Automático"),"35%",IF(AND(W13="Correctivo",X13="Manual"),"25%",""))))))</f>
        <v>40%</v>
      </c>
      <c r="Z13" s="127" t="s">
        <v>19</v>
      </c>
      <c r="AA13" s="127" t="s">
        <v>22</v>
      </c>
      <c r="AB13" s="127" t="s">
        <v>118</v>
      </c>
      <c r="AC13" s="129">
        <f>IFERROR(IF(V13="Probabilidad",(M13-(+M13*Y13)),IF(V13="Impacto",M13,"")),"")</f>
        <v>0.12</v>
      </c>
      <c r="AD13" s="130" t="str">
        <f>IFERROR(IF(AC13="","",IF(AC13&lt;=0.2,"Muy Baja",IF(AC13&lt;=0.4,"Baja",IF(AC13&lt;=0.6,"Media",IF(AC13&lt;=0.8,"Alta","Muy Alta"))))),"")</f>
        <v>Muy Baja</v>
      </c>
      <c r="AE13" s="131">
        <f>+AC13</f>
        <v>0.12</v>
      </c>
      <c r="AF13" s="130" t="str">
        <f>IFERROR(IF(AG13="","",IF(AG13&lt;=0.2,"Leve",IF(AG13&lt;=0.4,"Menor",IF(AG13&lt;=0.6,"Moderado",IF(AG13&lt;=0.8,"Mayor","Catastrófico"))))),"")</f>
        <v>Mayor</v>
      </c>
      <c r="AG13" s="131">
        <f>IFERROR(IF(V13="Impacto",(Q13-(+Q13*Y13)),IF(V13="Probabilidad",Q13,"")),"")</f>
        <v>0.8</v>
      </c>
      <c r="AH13" s="132"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Alto</v>
      </c>
      <c r="AI13" s="167" t="s">
        <v>135</v>
      </c>
      <c r="AJ13" s="117" t="s">
        <v>299</v>
      </c>
      <c r="AK13" s="159" t="s">
        <v>260</v>
      </c>
      <c r="AL13" s="159" t="s">
        <v>278</v>
      </c>
      <c r="AM13" s="159">
        <v>45422</v>
      </c>
      <c r="AN13" s="163" t="s">
        <v>301</v>
      </c>
      <c r="AO13" s="119" t="s">
        <v>306</v>
      </c>
      <c r="AP13" s="133">
        <v>45530</v>
      </c>
      <c r="AQ13" s="163" t="s">
        <v>313</v>
      </c>
      <c r="AR13" s="119" t="s">
        <v>308</v>
      </c>
      <c r="AS13" s="117" t="s">
        <v>312</v>
      </c>
      <c r="AT13" s="133">
        <v>45524</v>
      </c>
      <c r="AU13" s="117"/>
      <c r="AV13" s="119"/>
      <c r="AW13" s="5"/>
      <c r="AX13" s="5"/>
      <c r="AY13" s="5"/>
      <c r="AZ13" s="5"/>
      <c r="BA13" s="5"/>
      <c r="BB13" s="5"/>
    </row>
    <row r="14" spans="1:127" ht="252" customHeight="1" x14ac:dyDescent="0.3">
      <c r="A14" s="116">
        <v>4</v>
      </c>
      <c r="B14" s="116" t="s">
        <v>229</v>
      </c>
      <c r="C14" s="160" t="s">
        <v>240</v>
      </c>
      <c r="D14" s="117" t="s">
        <v>131</v>
      </c>
      <c r="E14" s="152" t="s">
        <v>272</v>
      </c>
      <c r="F14" s="152" t="s">
        <v>266</v>
      </c>
      <c r="G14" s="153" t="s">
        <v>273</v>
      </c>
      <c r="H14" s="152" t="s">
        <v>274</v>
      </c>
      <c r="I14" s="117" t="s">
        <v>245</v>
      </c>
      <c r="J14" s="117" t="s">
        <v>247</v>
      </c>
      <c r="K14" s="154">
        <v>4</v>
      </c>
      <c r="L14" s="120" t="str">
        <f>IF(K14&lt;=0,"",IF(K14&lt;=2,"Muy Baja",IF(K14&lt;=24,"Baja",IF(K14&lt;=500,"Media",IF(K14&lt;=5000,"Alta","Muy Alta")))))</f>
        <v>Baja</v>
      </c>
      <c r="M14" s="149">
        <v>0.6</v>
      </c>
      <c r="N14" s="155" t="s">
        <v>152</v>
      </c>
      <c r="O14" s="149" t="s">
        <v>152</v>
      </c>
      <c r="P14" s="120" t="str">
        <f>IF(OR(O14='Tabla Impacto'!$C$11,O14='Tabla Impacto'!$D$11),"Leve",IF(OR(O14='Tabla Impacto'!$C$12,O14='Tabla Impacto'!$D$12),"Menor",IF(OR(O14='Tabla Impacto'!$C$13,O14='Tabla Impacto'!$D$13),"Moderado",IF(OR(O14='Tabla Impacto'!$C$14,O14='Tabla Impacto'!$D$14),"Mayor",IF(OR(O14='Tabla Impacto'!$C$15,O14='Tabla Impacto'!$D$15),"Catastrófico","")))))</f>
        <v>Moderado</v>
      </c>
      <c r="Q14" s="149">
        <v>0.6</v>
      </c>
      <c r="R14" s="123"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56">
        <v>1</v>
      </c>
      <c r="T14" s="124" t="s">
        <v>294</v>
      </c>
      <c r="U14" s="125" t="s">
        <v>267</v>
      </c>
      <c r="V14" s="157" t="s">
        <v>4</v>
      </c>
      <c r="W14" s="127" t="s">
        <v>15</v>
      </c>
      <c r="X14" s="127" t="s">
        <v>9</v>
      </c>
      <c r="Y14" s="128" t="s">
        <v>257</v>
      </c>
      <c r="Z14" s="127" t="s">
        <v>19</v>
      </c>
      <c r="AA14" s="127" t="s">
        <v>22</v>
      </c>
      <c r="AB14" s="127" t="s">
        <v>118</v>
      </c>
      <c r="AC14" s="129">
        <f>IFERROR(IF(V14="Probabilidad",(M14-(+M14*Y14)),IF(V14="Impacto",M14,"")),"")</f>
        <v>0.36</v>
      </c>
      <c r="AD14" s="130" t="str">
        <f>IFERROR(IF(AC14="","",IF(AC14&lt;=0.2,"Muy Baja",IF(AC14&lt;=0.4,"Baja",IF(AC14&lt;=0.6,"Media",IF(AC14&lt;=0.8,"Alta","Muy Alta"))))),"")</f>
        <v>Baja</v>
      </c>
      <c r="AE14" s="131">
        <f>+AC14</f>
        <v>0.36</v>
      </c>
      <c r="AF14" s="130" t="str">
        <f>IFERROR(IF(AG14="","",IF(AG14&lt;=0.2,"Leve",IF(AG14&lt;=0.4,"Menor",IF(AG14&lt;=0.6,"Moderado",IF(AG14&lt;=0.8,"Mayor","Catastrófico"))))),"")</f>
        <v>Moderado</v>
      </c>
      <c r="AG14" s="131">
        <f>IFERROR(IF(V14="Impacto",(Q14-(+Q14*Y14)),IF(V14="Probabilidad",Q14,"")),"")</f>
        <v>0.6</v>
      </c>
      <c r="AH14" s="132"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27" t="s">
        <v>135</v>
      </c>
      <c r="AJ14" s="164" t="s">
        <v>302</v>
      </c>
      <c r="AK14" s="159" t="s">
        <v>261</v>
      </c>
      <c r="AL14" s="159" t="s">
        <v>268</v>
      </c>
      <c r="AM14" s="159">
        <v>45422</v>
      </c>
      <c r="AN14" s="163" t="s">
        <v>303</v>
      </c>
      <c r="AO14" s="119" t="s">
        <v>306</v>
      </c>
      <c r="AP14" s="133">
        <v>45530</v>
      </c>
      <c r="AQ14" s="163" t="s">
        <v>314</v>
      </c>
      <c r="AR14" s="119" t="s">
        <v>306</v>
      </c>
      <c r="AS14" s="168" t="s">
        <v>309</v>
      </c>
      <c r="AT14" s="133">
        <v>45524</v>
      </c>
      <c r="AU14" s="117"/>
      <c r="AV14" s="119"/>
      <c r="AW14" s="5"/>
      <c r="AX14" s="5"/>
      <c r="AY14" s="5"/>
      <c r="AZ14" s="5"/>
      <c r="BA14" s="5"/>
      <c r="BB14" s="5"/>
    </row>
    <row r="15" spans="1:127" ht="278.25" customHeight="1" x14ac:dyDescent="0.3">
      <c r="A15" s="116">
        <v>5</v>
      </c>
      <c r="B15" s="116" t="s">
        <v>229</v>
      </c>
      <c r="C15" s="160" t="s">
        <v>239</v>
      </c>
      <c r="D15" s="117" t="s">
        <v>131</v>
      </c>
      <c r="E15" s="117" t="s">
        <v>280</v>
      </c>
      <c r="F15" s="117" t="s">
        <v>281</v>
      </c>
      <c r="G15" s="118" t="s">
        <v>287</v>
      </c>
      <c r="H15" s="117" t="s">
        <v>122</v>
      </c>
      <c r="I15" s="117" t="s">
        <v>245</v>
      </c>
      <c r="J15" s="117" t="s">
        <v>247</v>
      </c>
      <c r="K15" s="119">
        <v>1000</v>
      </c>
      <c r="L15" s="120" t="str">
        <f>IF(K15&lt;=0,"",IF(K15&lt;=2,"Muy Baja",IF(K15&lt;=24,"Baja",IF(K15&lt;=500,"Media",IF(K15&lt;=5000,"Alta","Muy Alta")))))</f>
        <v>Alta</v>
      </c>
      <c r="M15" s="121">
        <v>0.8</v>
      </c>
      <c r="N15" s="122" t="s">
        <v>154</v>
      </c>
      <c r="O15" s="121" t="s">
        <v>152</v>
      </c>
      <c r="P15" s="120" t="str">
        <f>IF(OR(O15='Tabla Impacto'!$C$11,O15='Tabla Impacto'!$D$11),"Leve",IF(OR(O15='Tabla Impacto'!$C$12,O15='Tabla Impacto'!$D$12),"Menor",IF(OR(O15='Tabla Impacto'!$C$13,O15='Tabla Impacto'!$D$13),"Moderado",IF(OR(O15='Tabla Impacto'!$C$14,O15='Tabla Impacto'!$D$14),"Mayor",IF(OR(O15='Tabla Impacto'!$C$15,O15='Tabla Impacto'!$D$15),"Catastrófico","")))))</f>
        <v>Moderado</v>
      </c>
      <c r="Q15" s="121">
        <v>1</v>
      </c>
      <c r="R15" s="123"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Alto</v>
      </c>
      <c r="S15" s="116">
        <v>1</v>
      </c>
      <c r="T15" s="166" t="s">
        <v>289</v>
      </c>
      <c r="U15" s="166" t="s">
        <v>282</v>
      </c>
      <c r="V15" s="126" t="s">
        <v>4</v>
      </c>
      <c r="W15" s="127" t="s">
        <v>15</v>
      </c>
      <c r="X15" s="127" t="s">
        <v>9</v>
      </c>
      <c r="Y15" s="128" t="s">
        <v>257</v>
      </c>
      <c r="Z15" s="127" t="s">
        <v>19</v>
      </c>
      <c r="AA15" s="127" t="s">
        <v>22</v>
      </c>
      <c r="AB15" s="127" t="s">
        <v>118</v>
      </c>
      <c r="AC15" s="129">
        <f>IFERROR(IF(V15="Probabilidad",(M15-(+M15*Y15)),IF(V15="Impacto",M15,"")),"")</f>
        <v>0.48</v>
      </c>
      <c r="AD15" s="130" t="str">
        <f>IFERROR(IF(AC15="","",IF(AC15&lt;=0.2,"Muy Baja",IF(AC15&lt;=0.4,"Baja",IF(AC15&lt;=0.6,"Media",IF(AC15&lt;=0.8,"Alta","Muy Alta"))))),"")</f>
        <v>Media</v>
      </c>
      <c r="AE15" s="131">
        <f>+AC15</f>
        <v>0.48</v>
      </c>
      <c r="AF15" s="130" t="str">
        <f>IFERROR(IF(AG15="","",IF(AG15&lt;=0.2,"Leve",IF(AG15&lt;=0.4,"Menor",IF(AG15&lt;=0.6,"Moderado",IF(AG15&lt;=0.8,"Mayor","Catastrófico"))))),"")</f>
        <v>Catastrófico</v>
      </c>
      <c r="AG15" s="131">
        <f>IFERROR(IF(V15="Impacto",(Q15-(+Q15*Y15)),IF(V15="Probabilidad",Q15,"")),"")</f>
        <v>1</v>
      </c>
      <c r="AH15" s="132"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Extremo</v>
      </c>
      <c r="AI15" s="127" t="s">
        <v>135</v>
      </c>
      <c r="AJ15" s="159" t="s">
        <v>283</v>
      </c>
      <c r="AK15" s="159" t="s">
        <v>284</v>
      </c>
      <c r="AL15" s="133" t="s">
        <v>285</v>
      </c>
      <c r="AM15" s="159">
        <v>45422</v>
      </c>
      <c r="AN15" s="163" t="s">
        <v>305</v>
      </c>
      <c r="AO15" s="119" t="s">
        <v>306</v>
      </c>
      <c r="AP15" s="133">
        <v>45530</v>
      </c>
      <c r="AQ15" s="163" t="s">
        <v>323</v>
      </c>
      <c r="AR15" s="119" t="s">
        <v>306</v>
      </c>
      <c r="AS15" s="168" t="s">
        <v>322</v>
      </c>
      <c r="AT15" s="133">
        <v>45524</v>
      </c>
      <c r="AU15" s="117"/>
      <c r="AV15" s="119"/>
      <c r="AW15" s="5"/>
      <c r="AX15" s="5"/>
      <c r="AY15" s="5"/>
      <c r="AZ15" s="5"/>
      <c r="BA15" s="5"/>
      <c r="BB15" s="5"/>
    </row>
    <row r="16" spans="1:127" ht="121.5" customHeight="1" x14ac:dyDescent="0.3">
      <c r="A16" s="116">
        <v>6</v>
      </c>
      <c r="B16" s="116" t="s">
        <v>231</v>
      </c>
      <c r="C16" s="160" t="s">
        <v>239</v>
      </c>
      <c r="D16" s="117" t="s">
        <v>131</v>
      </c>
      <c r="E16" s="117" t="s">
        <v>315</v>
      </c>
      <c r="F16" s="117" t="s">
        <v>316</v>
      </c>
      <c r="G16" s="118" t="s">
        <v>317</v>
      </c>
      <c r="H16" s="117" t="s">
        <v>122</v>
      </c>
      <c r="I16" s="117" t="s">
        <v>247</v>
      </c>
      <c r="J16" s="117" t="s">
        <v>247</v>
      </c>
      <c r="K16" s="119">
        <v>100</v>
      </c>
      <c r="L16" s="120" t="str">
        <f t="shared" ref="L16" si="0">IF(K16&lt;=0,"",IF(K16&lt;=2,"Muy Baja",IF(K16&lt;=24,"Baja",IF(K16&lt;=500,"Media",IF(K16&lt;=5000,"Alta","Muy Alta")))))</f>
        <v>Media</v>
      </c>
      <c r="M16" s="121">
        <f>IF(L16="","",IF(L16="Muy Baja",0.2,IF(L16="Baja",0.4,IF(L16="Media",0.6,IF(L16="Alta",0.8,IF(L16="Muy Alta",1,))))))</f>
        <v>0.6</v>
      </c>
      <c r="N16" s="122" t="s">
        <v>150</v>
      </c>
      <c r="O16" s="151" t="str">
        <f>IF(NOT(ISERROR(MATCH(N16,'Tabla Impacto'!$B$221:$B$223,0))),'Tabla Impacto'!$F$223&amp;"Por favor no seleccionar los criterios de impacto(Afectación Económica o presupuestal y Pérdida Reputacional)",N16)</f>
        <v xml:space="preserve">     El riesgo afecta la imagen de alguna área de la organización</v>
      </c>
      <c r="P16" s="120" t="str">
        <f>IF(OR(O16='Tabla Impacto'!$C$11,O16='Tabla Impacto'!$D$11),"Leve",IF(OR(O16='Tabla Impacto'!$C$12,O16='Tabla Impacto'!$D$12),"Menor",IF(OR(O16='Tabla Impacto'!$C$13,O16='Tabla Impacto'!$D$13),"Moderado",IF(OR(O16='Tabla Impacto'!$C$14,O16='Tabla Impacto'!$D$14),"Mayor",IF(OR(O16='Tabla Impacto'!$C$15,O16='Tabla Impacto'!$D$15),"Catastrófico","")))))</f>
        <v>Leve</v>
      </c>
      <c r="Q16" s="121">
        <f>IF(P16="","",IF(P16="Leve",0.2,IF(P16="Menor",0.4,IF(P16="Moderado",0.6,IF(P16="Mayor",0.8,IF(P16="Catastrófico",1,))))))</f>
        <v>0.2</v>
      </c>
      <c r="R16" s="123" t="str">
        <f t="shared" ref="R16" si="1">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Moderado</v>
      </c>
      <c r="S16" s="116">
        <v>1</v>
      </c>
      <c r="T16" s="165" t="s">
        <v>318</v>
      </c>
      <c r="U16" s="166" t="s">
        <v>319</v>
      </c>
      <c r="V16" s="126" t="str">
        <f>IF(OR(W16="Preventivo",W16="Detectivo"),"Probabilidad",IF(W16="Correctivo","Impacto",""))</f>
        <v>Probabilidad</v>
      </c>
      <c r="W16" s="127" t="s">
        <v>14</v>
      </c>
      <c r="X16" s="127" t="s">
        <v>9</v>
      </c>
      <c r="Y16" s="128" t="str">
        <f>IF(AND(W16="Preventivo",X16="Automático"),"50%",IF(AND(W16="Preventivo",X16="Manual"),"40%",IF(AND(W16="Detectivo",X16="Automático"),"40%",IF(AND(W16="Detectivo",X16="Manual"),"30%",IF(AND(W16="Correctivo",X16="Automático"),"35%",IF(AND(W16="Correctivo",X16="Manual"),"25%",""))))))</f>
        <v>40%</v>
      </c>
      <c r="Z16" s="127" t="s">
        <v>19</v>
      </c>
      <c r="AA16" s="127" t="s">
        <v>22</v>
      </c>
      <c r="AB16" s="127" t="s">
        <v>118</v>
      </c>
      <c r="AC16" s="129">
        <f t="shared" ref="AC16" si="2">IFERROR(IF(V16="Probabilidad",(M16-(+M16*Y16)),IF(V16="Impacto",M16,"")),"")</f>
        <v>0.36</v>
      </c>
      <c r="AD16" s="130" t="str">
        <f t="shared" ref="AD16" si="3">IFERROR(IF(AC16="","",IF(AC16&lt;=0.2,"Muy Baja",IF(AC16&lt;=0.4,"Baja",IF(AC16&lt;=0.6,"Media",IF(AC16&lt;=0.8,"Alta","Muy Alta"))))),"")</f>
        <v>Baja</v>
      </c>
      <c r="AE16" s="131">
        <f t="shared" ref="AE16" si="4">+AC16</f>
        <v>0.36</v>
      </c>
      <c r="AF16" s="130" t="str">
        <f t="shared" ref="AF16" si="5">IFERROR(IF(AG16="","",IF(AG16&lt;=0.2,"Leve",IF(AG16&lt;=0.4,"Menor",IF(AG16&lt;=0.6,"Moderado",IF(AG16&lt;=0.8,"Mayor","Catastrófico"))))),"")</f>
        <v>Leve</v>
      </c>
      <c r="AG16" s="131">
        <f t="shared" ref="AG16" si="6">IFERROR(IF(V16="Impacto",(Q16-(+Q16*Y16)),IF(V16="Probabilidad",Q16,"")),"")</f>
        <v>0.2</v>
      </c>
      <c r="AH16" s="132" t="str">
        <f t="shared" ref="AH16" si="7">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Bajo</v>
      </c>
      <c r="AI16" s="127" t="s">
        <v>135</v>
      </c>
      <c r="AJ16" s="117" t="s">
        <v>320</v>
      </c>
      <c r="AK16" s="159" t="s">
        <v>321</v>
      </c>
      <c r="AL16" s="159" t="s">
        <v>292</v>
      </c>
      <c r="AM16" s="159">
        <v>45422</v>
      </c>
      <c r="AN16" s="163"/>
      <c r="AO16" s="119"/>
      <c r="AP16" s="133"/>
      <c r="AQ16" s="163"/>
      <c r="AR16" s="119"/>
      <c r="AS16" s="119"/>
      <c r="AT16" s="133"/>
      <c r="AU16" s="117"/>
      <c r="AV16" s="119"/>
      <c r="AW16" s="5"/>
      <c r="AX16" s="5"/>
      <c r="AY16" s="5"/>
      <c r="AZ16" s="158"/>
      <c r="BA16" s="5"/>
      <c r="BB16" s="5"/>
    </row>
    <row r="17" spans="1:43" ht="35.1" customHeight="1" x14ac:dyDescent="0.3">
      <c r="A17" s="115"/>
      <c r="B17" s="148"/>
      <c r="C17" s="161"/>
      <c r="D17" s="220" t="s">
        <v>130</v>
      </c>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2"/>
    </row>
    <row r="19" spans="1:43" ht="35.1" customHeight="1" x14ac:dyDescent="0.3">
      <c r="A19" s="134"/>
      <c r="B19" s="135"/>
      <c r="C19" s="135"/>
      <c r="D19" s="135"/>
      <c r="E19" s="135"/>
      <c r="F19" s="135"/>
      <c r="G19" s="135"/>
      <c r="H19" s="1"/>
      <c r="I19" s="1"/>
      <c r="J19" s="1"/>
      <c r="L19" s="138"/>
      <c r="M19" s="135"/>
      <c r="N19" s="135"/>
      <c r="O19" s="135"/>
      <c r="P19" s="135"/>
      <c r="Q19" s="135"/>
      <c r="R19" s="135"/>
      <c r="S19" s="135"/>
      <c r="T19" s="135"/>
      <c r="U19" s="135"/>
      <c r="V19" s="139"/>
      <c r="W19" s="139"/>
      <c r="X19" s="135"/>
      <c r="Y19" s="135"/>
      <c r="Z19" s="135"/>
      <c r="AA19" s="135"/>
      <c r="AB19" s="135"/>
      <c r="AC19" s="135"/>
      <c r="AD19" s="135"/>
      <c r="AE19" s="135"/>
      <c r="AF19" s="135"/>
      <c r="AG19" s="135"/>
      <c r="AH19" s="135"/>
      <c r="AI19" s="140"/>
      <c r="AJ19" s="140"/>
      <c r="AK19" s="135"/>
      <c r="AL19" s="135"/>
      <c r="AM19" s="135"/>
      <c r="AN19" s="135"/>
      <c r="AO19" s="135"/>
      <c r="AP19" s="135"/>
      <c r="AQ19" s="135"/>
    </row>
    <row r="20" spans="1:43" ht="35.1" customHeight="1" x14ac:dyDescent="0.3">
      <c r="A20" s="223" t="s">
        <v>296</v>
      </c>
      <c r="B20" s="223"/>
      <c r="C20" s="223"/>
      <c r="D20" s="223"/>
      <c r="E20" s="223"/>
      <c r="F20" s="223"/>
      <c r="G20" s="223"/>
      <c r="H20" s="1"/>
      <c r="I20" s="1"/>
      <c r="J20" s="1"/>
      <c r="K20" s="217" t="s">
        <v>295</v>
      </c>
      <c r="L20" s="218"/>
      <c r="M20" s="218"/>
      <c r="N20" s="219"/>
      <c r="O20" s="135"/>
      <c r="P20" s="135"/>
      <c r="Q20" s="135"/>
      <c r="R20" s="135"/>
      <c r="S20" s="135"/>
      <c r="T20" s="135"/>
      <c r="U20" s="140"/>
      <c r="V20" s="139"/>
      <c r="W20" s="139"/>
      <c r="X20" s="135"/>
      <c r="Y20" s="139"/>
      <c r="Z20" s="139"/>
      <c r="AA20" s="135"/>
      <c r="AB20" s="135"/>
      <c r="AC20" s="135"/>
      <c r="AD20" s="135"/>
      <c r="AE20" s="135"/>
      <c r="AF20" s="135"/>
      <c r="AG20" s="135"/>
      <c r="AH20" s="135"/>
      <c r="AI20" s="135"/>
      <c r="AJ20" s="135"/>
      <c r="AK20" s="135"/>
      <c r="AL20" s="135"/>
      <c r="AM20" s="135"/>
      <c r="AN20" s="135"/>
      <c r="AO20" s="135"/>
      <c r="AP20" s="135"/>
      <c r="AQ20" s="135"/>
    </row>
    <row r="21" spans="1:43" ht="35.1" customHeight="1" thickBot="1" x14ac:dyDescent="0.35">
      <c r="A21"/>
      <c r="B21"/>
      <c r="C21" s="143"/>
      <c r="D21"/>
      <c r="E21"/>
      <c r="F21"/>
      <c r="G21"/>
      <c r="H21" s="1"/>
      <c r="I21" s="1"/>
      <c r="J21" s="1"/>
      <c r="L21" s="136" t="str">
        <f>+IFERROR(VLOOKUP(H21,$H$176:$L$180,3,FALSE)*VLOOKUP(K21,$K$176:$L$180,3,FALSE),"")</f>
        <v/>
      </c>
      <c r="M21"/>
      <c r="N21"/>
      <c r="O21"/>
      <c r="P21"/>
      <c r="Q21"/>
      <c r="R21"/>
      <c r="S21"/>
      <c r="T21"/>
      <c r="U21"/>
      <c r="V21" s="136"/>
      <c r="W21" s="137"/>
      <c r="X21"/>
      <c r="Y21" s="137"/>
      <c r="Z21" s="137"/>
      <c r="AA21" s="143"/>
      <c r="AB21" s="143"/>
      <c r="AC21" s="143"/>
      <c r="AD21" s="143"/>
      <c r="AE21" s="141"/>
      <c r="AF21" s="141"/>
      <c r="AG21" s="143"/>
      <c r="AH21" s="144"/>
      <c r="AI21"/>
      <c r="AJ21"/>
      <c r="AK21"/>
      <c r="AL21" s="143"/>
      <c r="AM21"/>
      <c r="AN21" s="143"/>
      <c r="AO21"/>
      <c r="AP21" s="143"/>
      <c r="AQ21"/>
    </row>
    <row r="22" spans="1:43" ht="35.1" customHeight="1" thickTop="1" thickBot="1" x14ac:dyDescent="0.35">
      <c r="A22" s="215" t="s">
        <v>217</v>
      </c>
      <c r="B22" s="215"/>
      <c r="C22" s="215"/>
      <c r="D22" s="215"/>
      <c r="E22" s="215"/>
      <c r="F22" s="215"/>
      <c r="G22" s="146" t="s">
        <v>218</v>
      </c>
      <c r="H22" s="215" t="s">
        <v>219</v>
      </c>
      <c r="I22" s="215"/>
      <c r="J22" s="215"/>
      <c r="K22" s="215"/>
      <c r="L22" s="215"/>
      <c r="M22" s="215"/>
      <c r="N22" s="215"/>
      <c r="O22" s="147"/>
      <c r="P22" s="216" t="s">
        <v>220</v>
      </c>
      <c r="Q22" s="216"/>
      <c r="R22" s="216"/>
      <c r="S22" s="215" t="s">
        <v>221</v>
      </c>
      <c r="T22" s="215"/>
      <c r="U22" s="215"/>
      <c r="V22" s="215"/>
      <c r="W22" s="216">
        <v>1</v>
      </c>
      <c r="X22" s="216"/>
      <c r="Y22" s="216"/>
      <c r="Z22" s="216"/>
      <c r="AA22" s="145"/>
      <c r="AB22" s="145"/>
      <c r="AC22" s="145"/>
      <c r="AD22" s="145"/>
      <c r="AE22" s="145"/>
      <c r="AF22" s="145"/>
      <c r="AG22" s="145"/>
      <c r="AH22" s="145"/>
      <c r="AI22" s="145"/>
      <c r="AJ22" s="145"/>
      <c r="AK22" s="145"/>
      <c r="AL22" s="145"/>
      <c r="AM22" s="145"/>
      <c r="AN22" s="145"/>
      <c r="AO22" s="145"/>
      <c r="AP22" s="145"/>
      <c r="AQ22" s="142"/>
    </row>
    <row r="23" spans="1:43" ht="35.1" customHeight="1" thickTop="1" x14ac:dyDescent="0.3"/>
  </sheetData>
  <dataConsolidate/>
  <mergeCells count="68">
    <mergeCell ref="AU1:AV1"/>
    <mergeCell ref="AU2:AV2"/>
    <mergeCell ref="AU3:AV3"/>
    <mergeCell ref="AU4:AV4"/>
    <mergeCell ref="AJ9:AJ10"/>
    <mergeCell ref="C7:AV7"/>
    <mergeCell ref="C6:AV6"/>
    <mergeCell ref="C5:AV5"/>
    <mergeCell ref="I9:I10"/>
    <mergeCell ref="J9:J10"/>
    <mergeCell ref="AI9:AI10"/>
    <mergeCell ref="AH9:AH10"/>
    <mergeCell ref="AG9:AG10"/>
    <mergeCell ref="AC9:AC10"/>
    <mergeCell ref="U9:U10"/>
    <mergeCell ref="AV9:AV10"/>
    <mergeCell ref="A1:D4"/>
    <mergeCell ref="AF9:AF10"/>
    <mergeCell ref="AD9:AD10"/>
    <mergeCell ref="AE9:AE10"/>
    <mergeCell ref="K9:K10"/>
    <mergeCell ref="L9:L10"/>
    <mergeCell ref="M9:M10"/>
    <mergeCell ref="P9:P10"/>
    <mergeCell ref="Q9:Q10"/>
    <mergeCell ref="W9:AB9"/>
    <mergeCell ref="AC8:AI8"/>
    <mergeCell ref="A9:A10"/>
    <mergeCell ref="H9:H10"/>
    <mergeCell ref="E1:AT4"/>
    <mergeCell ref="AP9:AP10"/>
    <mergeCell ref="AQ9:AQ10"/>
    <mergeCell ref="D17:AO17"/>
    <mergeCell ref="A20:G20"/>
    <mergeCell ref="G9:G10"/>
    <mergeCell ref="F9:F10"/>
    <mergeCell ref="E9:E10"/>
    <mergeCell ref="D9:D10"/>
    <mergeCell ref="R9:R10"/>
    <mergeCell ref="N9:N10"/>
    <mergeCell ref="O9:O10"/>
    <mergeCell ref="AO9:AO10"/>
    <mergeCell ref="AN9:AN10"/>
    <mergeCell ref="AM9:AM10"/>
    <mergeCell ref="AL9:AL10"/>
    <mergeCell ref="AK9:AK10"/>
    <mergeCell ref="C9:C10"/>
    <mergeCell ref="S22:V22"/>
    <mergeCell ref="W22:Z22"/>
    <mergeCell ref="A22:F22"/>
    <mergeCell ref="K20:N20"/>
    <mergeCell ref="H22:N22"/>
    <mergeCell ref="P22:R22"/>
    <mergeCell ref="AJ8:AV8"/>
    <mergeCell ref="AR9:AR10"/>
    <mergeCell ref="AT9:AT10"/>
    <mergeCell ref="AU9:AU10"/>
    <mergeCell ref="A5:B5"/>
    <mergeCell ref="A6:B6"/>
    <mergeCell ref="A7:B7"/>
    <mergeCell ref="A8:K8"/>
    <mergeCell ref="L8:R8"/>
    <mergeCell ref="S8:AB8"/>
    <mergeCell ref="S9:S10"/>
    <mergeCell ref="T9:T10"/>
    <mergeCell ref="B9:B10"/>
    <mergeCell ref="V9:V10"/>
    <mergeCell ref="AS9:AS10"/>
  </mergeCells>
  <conditionalFormatting sqref="L11:L15">
    <cfRule type="cellIs" dxfId="67" priority="226" operator="equal">
      <formula>"Muy Alta"</formula>
    </cfRule>
    <cfRule type="cellIs" dxfId="66" priority="227" operator="equal">
      <formula>"Alta"</formula>
    </cfRule>
    <cfRule type="cellIs" dxfId="65" priority="228" operator="equal">
      <formula>"Media"</formula>
    </cfRule>
    <cfRule type="cellIs" dxfId="64" priority="229" operator="equal">
      <formula>"Baja"</formula>
    </cfRule>
    <cfRule type="cellIs" dxfId="63" priority="230" operator="equal">
      <formula>"Muy Baja"</formula>
    </cfRule>
  </conditionalFormatting>
  <conditionalFormatting sqref="O11:O15">
    <cfRule type="containsText" dxfId="62" priority="44" operator="containsText" text="❌">
      <formula>NOT(ISERROR(SEARCH("❌",O11)))</formula>
    </cfRule>
  </conditionalFormatting>
  <conditionalFormatting sqref="P11:P15">
    <cfRule type="cellIs" dxfId="61" priority="221" operator="equal">
      <formula>"Catastrófico"</formula>
    </cfRule>
    <cfRule type="cellIs" dxfId="60" priority="222" operator="equal">
      <formula>"Mayor"</formula>
    </cfRule>
    <cfRule type="cellIs" dxfId="59" priority="223" operator="equal">
      <formula>"Moderado"</formula>
    </cfRule>
    <cfRule type="cellIs" dxfId="58" priority="224" operator="equal">
      <formula>"Menor"</formula>
    </cfRule>
    <cfRule type="cellIs" dxfId="57" priority="225" operator="equal">
      <formula>"Leve"</formula>
    </cfRule>
  </conditionalFormatting>
  <conditionalFormatting sqref="R11:R15">
    <cfRule type="cellIs" dxfId="56" priority="217" operator="equal">
      <formula>"Extremo"</formula>
    </cfRule>
    <cfRule type="cellIs" dxfId="55" priority="218" operator="equal">
      <formula>"Alto"</formula>
    </cfRule>
    <cfRule type="cellIs" dxfId="54" priority="219" operator="equal">
      <formula>"Moderado"</formula>
    </cfRule>
    <cfRule type="cellIs" dxfId="53" priority="220" operator="equal">
      <formula>"Bajo"</formula>
    </cfRule>
  </conditionalFormatting>
  <conditionalFormatting sqref="AD11:AD15">
    <cfRule type="cellIs" dxfId="52" priority="212" operator="equal">
      <formula>"Muy Alta"</formula>
    </cfRule>
    <cfRule type="cellIs" dxfId="51" priority="213" operator="equal">
      <formula>"Alta"</formula>
    </cfRule>
    <cfRule type="cellIs" dxfId="50" priority="214" operator="equal">
      <formula>"Media"</formula>
    </cfRule>
    <cfRule type="cellIs" dxfId="49" priority="215" operator="equal">
      <formula>"Baja"</formula>
    </cfRule>
    <cfRule type="cellIs" dxfId="48" priority="216" operator="equal">
      <formula>"Muy Baja"</formula>
    </cfRule>
  </conditionalFormatting>
  <conditionalFormatting sqref="AE19:AE21">
    <cfRule type="cellIs" dxfId="47" priority="190" stopIfTrue="1" operator="equal">
      <formula>#REF!</formula>
    </cfRule>
    <cfRule type="cellIs" dxfId="46" priority="191" operator="equal">
      <formula>#REF!</formula>
    </cfRule>
    <cfRule type="cellIs" dxfId="45" priority="192" operator="equal">
      <formula>#REF!</formula>
    </cfRule>
  </conditionalFormatting>
  <conditionalFormatting sqref="AF11:AF15">
    <cfRule type="cellIs" dxfId="44" priority="207" operator="equal">
      <formula>"Catastrófico"</formula>
    </cfRule>
    <cfRule type="cellIs" dxfId="43" priority="208" operator="equal">
      <formula>"Mayor"</formula>
    </cfRule>
    <cfRule type="cellIs" dxfId="42" priority="209" operator="equal">
      <formula>"Moderado"</formula>
    </cfRule>
    <cfRule type="cellIs" dxfId="41" priority="210" operator="equal">
      <formula>"Menor"</formula>
    </cfRule>
    <cfRule type="cellIs" dxfId="40" priority="211" operator="equal">
      <formula>"Leve"</formula>
    </cfRule>
  </conditionalFormatting>
  <conditionalFormatting sqref="AF19:AF21">
    <cfRule type="cellIs" dxfId="39" priority="193" stopIfTrue="1" operator="equal">
      <formula>#REF!</formula>
    </cfRule>
    <cfRule type="cellIs" dxfId="38" priority="194" stopIfTrue="1" operator="equal">
      <formula>#REF!</formula>
    </cfRule>
    <cfRule type="cellIs" dxfId="37" priority="195" stopIfTrue="1" operator="equal">
      <formula>#REF!</formula>
    </cfRule>
  </conditionalFormatting>
  <conditionalFormatting sqref="AH11:AH15">
    <cfRule type="cellIs" dxfId="36" priority="203" operator="equal">
      <formula>"Extremo"</formula>
    </cfRule>
    <cfRule type="cellIs" dxfId="35" priority="204" operator="equal">
      <formula>"Alto"</formula>
    </cfRule>
    <cfRule type="cellIs" dxfId="34" priority="205" operator="equal">
      <formula>"Moderado"</formula>
    </cfRule>
    <cfRule type="cellIs" dxfId="33" priority="206" operator="equal">
      <formula>"Bajo"</formula>
    </cfRule>
  </conditionalFormatting>
  <conditionalFormatting sqref="L16">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O16">
    <cfRule type="containsText" dxfId="27" priority="1" operator="containsText" text="❌">
      <formula>NOT(ISERROR(SEARCH("❌",O16)))</formula>
    </cfRule>
  </conditionalFormatting>
  <conditionalFormatting sqref="P16">
    <cfRule type="cellIs" dxfId="26" priority="20" operator="equal">
      <formula>"Catastrófico"</formula>
    </cfRule>
    <cfRule type="cellIs" dxfId="25" priority="21" operator="equal">
      <formula>"Mayor"</formula>
    </cfRule>
    <cfRule type="cellIs" dxfId="24" priority="22" operator="equal">
      <formula>"Moderado"</formula>
    </cfRule>
    <cfRule type="cellIs" dxfId="23" priority="23" operator="equal">
      <formula>"Menor"</formula>
    </cfRule>
    <cfRule type="cellIs" dxfId="22" priority="24" operator="equal">
      <formula>"Leve"</formula>
    </cfRule>
  </conditionalFormatting>
  <conditionalFormatting sqref="R16">
    <cfRule type="cellIs" dxfId="21" priority="16" operator="equal">
      <formula>"Extremo"</formula>
    </cfRule>
    <cfRule type="cellIs" dxfId="20" priority="17" operator="equal">
      <formula>"Alto"</formula>
    </cfRule>
    <cfRule type="cellIs" dxfId="19" priority="18" operator="equal">
      <formula>"Moderado"</formula>
    </cfRule>
    <cfRule type="cellIs" dxfId="18" priority="19" operator="equal">
      <formula>"Bajo"</formula>
    </cfRule>
  </conditionalFormatting>
  <conditionalFormatting sqref="AD16">
    <cfRule type="cellIs" dxfId="17" priority="11" operator="equal">
      <formula>"Muy Alta"</formula>
    </cfRule>
    <cfRule type="cellIs" dxfId="16" priority="12" operator="equal">
      <formula>"Alta"</formula>
    </cfRule>
    <cfRule type="cellIs" dxfId="15" priority="13" operator="equal">
      <formula>"Media"</formula>
    </cfRule>
    <cfRule type="cellIs" dxfId="14" priority="14" operator="equal">
      <formula>"Baja"</formula>
    </cfRule>
    <cfRule type="cellIs" dxfId="13" priority="15" operator="equal">
      <formula>"Muy Baja"</formula>
    </cfRule>
  </conditionalFormatting>
  <conditionalFormatting sqref="AF16">
    <cfRule type="cellIs" dxfId="12" priority="6" operator="equal">
      <formula>"Catastrófico"</formula>
    </cfRule>
    <cfRule type="cellIs" dxfId="11" priority="7" operator="equal">
      <formula>"Mayor"</formula>
    </cfRule>
    <cfRule type="cellIs" dxfId="10" priority="8" operator="equal">
      <formula>"Moderado"</formula>
    </cfRule>
    <cfRule type="cellIs" dxfId="9" priority="9" operator="equal">
      <formula>"Menor"</formula>
    </cfRule>
    <cfRule type="cellIs" dxfId="8" priority="10" operator="equal">
      <formula>"Leve"</formula>
    </cfRule>
  </conditionalFormatting>
  <conditionalFormatting sqref="AH16">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dataValidations count="7">
    <dataValidation type="list" allowBlank="1" showInputMessage="1" showErrorMessage="1" sqref="G19">
      <formula1>$G$176:$G$185</formula1>
    </dataValidation>
    <dataValidation type="list" allowBlank="1" showInputMessage="1" showErrorMessage="1" sqref="G21 AE21:AF21">
      <formula1>#REF!</formula1>
    </dataValidation>
    <dataValidation type="list" allowBlank="1" showInputMessage="1" showErrorMessage="1" sqref="V21">
      <formula1>$N$176:$N$177</formula1>
    </dataValidation>
    <dataValidation type="list" allowBlank="1" showInputMessage="1" showErrorMessage="1" sqref="K21">
      <formula1>$K$176:$K$180</formula1>
    </dataValidation>
    <dataValidation type="list" allowBlank="1" showInputMessage="1" showErrorMessage="1" sqref="H21:J21">
      <formula1>$H$176:$H$180</formula1>
    </dataValidation>
    <dataValidation type="list" allowBlank="1" showInputMessage="1" showErrorMessage="1" sqref="AP21 AN21 AL21 W21 Y21:AD21">
      <formula1>$AL$176:$AL$183</formula1>
    </dataValidation>
    <dataValidation showInputMessage="1" showErrorMessage="1" error="Recuerde que las acciones se generan bajo la medida de mitigar el riesgo" sqref="AJ15"/>
  </dataValidations>
  <hyperlinks>
    <hyperlink ref="AS12" r:id="rId1"/>
    <hyperlink ref="AS11" r:id="rId2"/>
    <hyperlink ref="AS14" r:id="rId3"/>
    <hyperlink ref="AS15" r:id="rId4"/>
  </hyperlinks>
  <pageMargins left="0.7" right="0.7" top="0.75" bottom="0.75" header="0.3" footer="0.3"/>
  <pageSetup orientation="portrait" r:id="rId5"/>
  <drawing r:id="rId6"/>
  <extLst>
    <ext xmlns:x14="http://schemas.microsoft.com/office/spreadsheetml/2009/9/main" uri="{CCE6A557-97BC-4b89-ADB6-D9C93CAAB3DF}">
      <x14:dataValidations xmlns:xm="http://schemas.microsoft.com/office/excel/2006/main" count="30">
        <x14:dataValidation type="list" allowBlank="1" showInputMessage="1" showErrorMessage="1">
          <x14:formula1>
            <xm:f>'Tabla Valoración controles'!$D$7:$D$8</xm:f>
          </x14:formula1>
          <xm:sqref>X11:X13</xm:sqref>
        </x14:dataValidation>
        <x14:dataValidation type="list" allowBlank="1" showInputMessage="1" showErrorMessage="1">
          <x14:formula1>
            <xm:f>'Tabla Valoración controles'!$D$9:$D$10</xm:f>
          </x14:formula1>
          <xm:sqref>Z11:Z13</xm:sqref>
        </x14:dataValidation>
        <x14:dataValidation type="list" allowBlank="1" showInputMessage="1" showErrorMessage="1">
          <x14:formula1>
            <xm:f>'Tabla Valoración controles'!$D$11:$D$12</xm:f>
          </x14:formula1>
          <xm:sqref>AA11:AA13</xm:sqref>
        </x14:dataValidation>
        <x14:dataValidation type="list" allowBlank="1" showInputMessage="1" showErrorMessage="1">
          <x14:formula1>
            <xm:f>'Tabla Valoración controles'!$D$13:$D$14</xm:f>
          </x14:formula1>
          <xm:sqref>AB11:AB13</xm:sqref>
        </x14:dataValidation>
        <x14:dataValidation type="list" allowBlank="1" showInputMessage="1" showErrorMessage="1">
          <x14:formula1>
            <xm:f>'Opciones Tratamiento'!$B$13:$B$19</xm:f>
          </x14:formula1>
          <xm:sqref>H11:H13</xm:sqref>
        </x14:dataValidation>
        <x14:dataValidation type="list" allowBlank="1" showInputMessage="1" showErrorMessage="1">
          <x14:formula1>
            <xm:f>'Tabla Impacto'!$F$210:$F$221</xm:f>
          </x14:formula1>
          <xm:sqref>N11:N13</xm:sqref>
        </x14:dataValidation>
        <x14:dataValidation type="custom" allowBlank="1" showInputMessage="1" showErrorMessage="1" error="Recuerde que las acciones se generan bajo la medida de mitigar el riesgo">
          <x14:formula1>
            <xm:f>IF(OR(AI11='Opciones Tratamiento'!$B$2,AI11='Opciones Tratamiento'!$B$3,AI11='Opciones Tratamiento'!$B$4),ISBLANK(AI11),ISTEXT(AI11))</xm:f>
          </x14:formula1>
          <xm:sqref>AJ11:AJ13</xm:sqref>
        </x14:dataValidation>
        <x14:dataValidation type="list" allowBlank="1" showInputMessage="1" showErrorMessage="1">
          <x14:formula1>
            <xm:f>'C:\Users\plandeaccion\Downloads\[Riesgos de Comunicaciones 2023.xlsx]Opciones Tratamiento'!#REF!</xm:f>
          </x14:formula1>
          <xm:sqref>H15</xm:sqref>
        </x14:dataValidation>
        <x14:dataValidation type="custom" allowBlank="1" showInputMessage="1" showErrorMessage="1" error="Recuerde que las acciones se generan bajo la medida de mitigar el riesgo">
          <x14:formula1>
            <xm:f>IF(OR(AH15='C:\Users\plandeaccion\Downloads\[Riesgos de Comunicaciones 2023.xlsx]Opciones Tratamiento'!#REF!,AH15='C:\Users\plandeaccion\Downloads\[Riesgos de Comunicaciones 2023.xlsx]Opciones Tratamiento'!#REF!,AH15='C:\Users\plandeaccion\Downloads\[Riesgos de Comunicaciones 2023.xlsx]Opciones Tratamiento'!#REF!),ISBLANK(AH15),ISTEXT(AH15))</xm:f>
          </x14:formula1>
          <xm:sqref>AL15</xm:sqref>
        </x14:dataValidation>
        <x14:dataValidation type="custom" allowBlank="1" showInputMessage="1" showErrorMessage="1" error="Recuerde que las acciones se generan bajo la medida de mitigar el riesgo">
          <x14:formula1>
            <xm:f>IF(OR(AH15='C:\Users\plandeaccion\Downloads\[Riesgos de Comunicaciones 2023.xlsx]Opciones Tratamiento'!#REF!,AH15='C:\Users\plandeaccion\Downloads\[Riesgos de Comunicaciones 2023.xlsx]Opciones Tratamiento'!#REF!,AH15='C:\Users\plandeaccion\Downloads\[Riesgos de Comunicaciones 2023.xlsx]Opciones Tratamiento'!#REF!),ISBLANK(AH15),ISTEXT(AH15))</xm:f>
          </x14:formula1>
          <xm:sqref>AK15</xm:sqref>
        </x14:dataValidation>
        <x14:dataValidation type="list" allowBlank="1" showInputMessage="1" showErrorMessage="1">
          <x14:formula1>
            <xm:f>'Tabla Valoración controles'!$D$4:$D$6</xm:f>
          </x14:formula1>
          <xm:sqref>W11:W15</xm:sqref>
        </x14:dataValidation>
        <x14:dataValidation type="list" allowBlank="1" showInputMessage="1" showErrorMessage="1">
          <x14:formula1>
            <xm:f>'Opciones Tratamiento'!$E$2:$E$4</xm:f>
          </x14:formula1>
          <xm:sqref>D11:D15</xm:sqref>
        </x14:dataValidation>
        <x14:dataValidation type="list" allowBlank="1" showInputMessage="1" showErrorMessage="1">
          <x14:formula1>
            <xm:f>'Opciones Tratamiento'!$B$2:$B$5</xm:f>
          </x14:formula1>
          <xm:sqref>AI11:AI15</xm:sqref>
        </x14:dataValidation>
        <x14:dataValidation type="custom" allowBlank="1" showInputMessage="1" showErrorMessage="1" error="Recuerde que las acciones se generan bajo la medida de mitigar el riesgo">
          <x14:formula1>
            <xm:f>IF(OR(AH11='Opciones Tratamiento'!$B$2,AH11='Opciones Tratamiento'!$B$3,AH11='Opciones Tratamiento'!$B$4),ISBLANK(AH11),ISTEXT(AH11))</xm:f>
          </x14:formula1>
          <xm:sqref>AK11:AK14</xm:sqref>
        </x14:dataValidation>
        <x14:dataValidation type="custom" allowBlank="1" showInputMessage="1" showErrorMessage="1" error="Recuerde que las acciones se generan bajo la medida de mitigar el riesgo">
          <x14:formula1>
            <xm:f>IF(OR(AH11='Opciones Tratamiento'!$B$2,AH11='Opciones Tratamiento'!$B$3,AH11='Opciones Tratamiento'!$B$4),ISBLANK(AH11),ISTEXT(AH11))</xm:f>
          </x14:formula1>
          <xm:sqref>AL11:AL14</xm:sqref>
        </x14:dataValidation>
        <x14:dataValidation type="list" allowBlank="1" showInputMessage="1" showErrorMessage="1">
          <x14:formula1>
            <xm:f>Listas!$A$2:$A$9</xm:f>
          </x14:formula1>
          <xm:sqref>B11:B15</xm:sqref>
        </x14:dataValidation>
        <x14:dataValidation type="list" allowBlank="1" showInputMessage="1" showErrorMessage="1">
          <x14:formula1>
            <xm:f>Listas!$B$2:$B$7</xm:f>
          </x14:formula1>
          <xm:sqref>C11:C15</xm:sqref>
        </x14:dataValidation>
        <x14:dataValidation type="list" allowBlank="1" showInputMessage="1" showErrorMessage="1">
          <x14:formula1>
            <xm:f>Listas!$C$2:$C$6</xm:f>
          </x14:formula1>
          <xm:sqref>I11:I15</xm:sqref>
        </x14:dataValidation>
        <x14:dataValidation type="list" allowBlank="1" showInputMessage="1" showErrorMessage="1">
          <x14:formula1>
            <xm:f>Listas!$D$2:$D$5</xm:f>
          </x14:formula1>
          <xm:sqref>J11:J15</xm:sqref>
        </x14:dataValidation>
        <x14:dataValidation type="list" allowBlank="1" showInputMessage="1" showErrorMessage="1">
          <x14:formula1>
            <xm:f>[ORII.xlsx]Listas!#REF!</xm:f>
          </x14:formula1>
          <xm:sqref>C16</xm:sqref>
        </x14:dataValidation>
        <x14:dataValidation type="list" allowBlank="1" showInputMessage="1" showErrorMessage="1">
          <x14:formula1>
            <xm:f>[ORII.xlsx]Listas!#REF!</xm:f>
          </x14:formula1>
          <xm:sqref>B16</xm:sqref>
        </x14:dataValidation>
        <x14:dataValidation type="list" allowBlank="1" showInputMessage="1" showErrorMessage="1">
          <x14:formula1>
            <xm:f>'[ORII.xlsx]Opciones Tratamiento'!#REF!</xm:f>
          </x14:formula1>
          <xm:sqref>D16</xm:sqref>
        </x14:dataValidation>
        <x14:dataValidation type="list" allowBlank="1" showInputMessage="1" showErrorMessage="1">
          <x14:formula1>
            <xm:f>'Tabla Valoración controles'!#REF!</xm:f>
          </x14:formula1>
          <xm:sqref>X16</xm:sqref>
        </x14:dataValidation>
        <x14:dataValidation type="list" allowBlank="1" showInputMessage="1" showErrorMessage="1">
          <x14:formula1>
            <xm:f>'Tabla Valoración controles'!#REF!</xm:f>
          </x14:formula1>
          <xm:sqref>Z16:AB16 W16</xm:sqref>
        </x14:dataValidation>
        <x14:dataValidation type="list" allowBlank="1" showInputMessage="1" showErrorMessage="1">
          <x14:formula1>
            <xm:f>'Opciones Tratamiento'!#REF!</xm:f>
          </x14:formula1>
          <xm:sqref>H16 AI16</xm:sqref>
        </x14:dataValidation>
        <x14:dataValidation type="list" allowBlank="1" showInputMessage="1" showErrorMessage="1">
          <x14:formula1>
            <xm:f>'Tabla Impacto'!#REF!</xm:f>
          </x14:formula1>
          <xm:sqref>N16</xm:sqref>
        </x14:dataValidation>
        <x14:dataValidation type="custom" allowBlank="1" showInputMessage="1" showErrorMessage="1" error="Recuerde que las acciones se generan bajo la medida de mitigar el riesgo">
          <x14:formula1>
            <xm:f>IF(OR(AI16='Opciones Tratamiento'!#REF!,AI16='Opciones Tratamiento'!#REF!,AI16='Opciones Tratamiento'!#REF!),ISBLANK(AI16),ISTEXT(AI16))</xm:f>
          </x14:formula1>
          <xm:sqref>AJ16</xm:sqref>
        </x14:dataValidation>
        <x14:dataValidation type="custom" allowBlank="1" showInputMessage="1" showErrorMessage="1" error="Recuerde que las acciones se generan bajo la medida de mitigar el riesgo">
          <x14:formula1>
            <xm:f>IF(OR(AH16='Opciones Tratamiento'!#REF!,AH16='Opciones Tratamiento'!#REF!,AH16='Opciones Tratamiento'!#REF!),ISBLANK(AH16),ISTEXT(AH16))</xm:f>
          </x14:formula1>
          <xm:sqref>AK16</xm:sqref>
        </x14:dataValidation>
        <x14:dataValidation type="custom" allowBlank="1" showInputMessage="1" showErrorMessage="1" error="Recuerde que las acciones se generan bajo la medida de mitigar el riesgo">
          <x14:formula1>
            <xm:f>IF(OR(AH16='Opciones Tratamiento'!#REF!,AH16='Opciones Tratamiento'!#REF!,AH16='Opciones Tratamiento'!#REF!),ISBLANK(AH16),ISTEXT(AH16))</xm:f>
          </x14:formula1>
          <xm:sqref>AL16</xm:sqref>
        </x14:dataValidation>
        <x14:dataValidation type="list" allowBlank="1" showInputMessage="1" showErrorMessage="1">
          <x14:formula1>
            <xm:f>Listas!#REF!</xm:f>
          </x14:formula1>
          <xm:sqref>I16:J16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17" t="s">
        <v>158</v>
      </c>
      <c r="C2" s="317"/>
      <c r="D2" s="317"/>
      <c r="E2" s="317"/>
      <c r="F2" s="317"/>
      <c r="G2" s="317"/>
      <c r="H2" s="317"/>
      <c r="I2" s="317"/>
      <c r="J2" s="285" t="s">
        <v>2</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17"/>
      <c r="C3" s="317"/>
      <c r="D3" s="317"/>
      <c r="E3" s="317"/>
      <c r="F3" s="317"/>
      <c r="G3" s="317"/>
      <c r="H3" s="317"/>
      <c r="I3" s="317"/>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17"/>
      <c r="C4" s="317"/>
      <c r="D4" s="317"/>
      <c r="E4" s="317"/>
      <c r="F4" s="317"/>
      <c r="G4" s="317"/>
      <c r="H4" s="317"/>
      <c r="I4" s="317"/>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32" t="s">
        <v>4</v>
      </c>
      <c r="C6" s="232"/>
      <c r="D6" s="233"/>
      <c r="E6" s="270" t="s">
        <v>115</v>
      </c>
      <c r="F6" s="271"/>
      <c r="G6" s="271"/>
      <c r="H6" s="271"/>
      <c r="I6" s="272"/>
      <c r="J6" s="281" t="e">
        <f>IF(AND('Mapa final'!#REF!="Muy Alta",'Mapa final'!#REF!="Leve"),CONCATENATE("R",'Mapa final'!#REF!),"")</f>
        <v>#REF!</v>
      </c>
      <c r="K6" s="282"/>
      <c r="L6" s="282" t="str">
        <f>IF(AND('Mapa final'!$L$11="Muy Alta",'Mapa final'!$P$11="Leve"),CONCATENATE("R",'Mapa final'!$A$11),"")</f>
        <v/>
      </c>
      <c r="M6" s="282"/>
      <c r="N6" s="282" t="e">
        <f>IF(AND('Mapa final'!#REF!="Muy Alta",'Mapa final'!#REF!="Leve"),CONCATENATE("R",'Mapa final'!#REF!),"")</f>
        <v>#REF!</v>
      </c>
      <c r="O6" s="284"/>
      <c r="P6" s="281" t="e">
        <f>IF(AND('Mapa final'!#REF!="Muy Alta",'Mapa final'!#REF!="Menor"),CONCATENATE("R",'Mapa final'!#REF!),"")</f>
        <v>#REF!</v>
      </c>
      <c r="Q6" s="282"/>
      <c r="R6" s="282" t="str">
        <f>IF(AND('Mapa final'!$L$11="Muy Alta",'Mapa final'!$P$11="Menor"),CONCATENATE("R",'Mapa final'!$A$11),"")</f>
        <v/>
      </c>
      <c r="S6" s="282"/>
      <c r="T6" s="282" t="e">
        <f>IF(AND('Mapa final'!#REF!="Muy Alta",'Mapa final'!#REF!="Menor"),CONCATENATE("R",'Mapa final'!#REF!),"")</f>
        <v>#REF!</v>
      </c>
      <c r="U6" s="284"/>
      <c r="V6" s="281" t="e">
        <f>IF(AND('Mapa final'!#REF!="Muy Alta",'Mapa final'!#REF!="Moderado"),CONCATENATE("R",'Mapa final'!#REF!),"")</f>
        <v>#REF!</v>
      </c>
      <c r="W6" s="282"/>
      <c r="X6" s="282" t="str">
        <f>IF(AND('Mapa final'!$L$11="Muy Alta",'Mapa final'!$P$11="Moderado"),CONCATENATE("R",'Mapa final'!$A$11),"")</f>
        <v/>
      </c>
      <c r="Y6" s="282"/>
      <c r="Z6" s="282" t="e">
        <f>IF(AND('Mapa final'!#REF!="Muy Alta",'Mapa final'!#REF!="Moderado"),CONCATENATE("R",'Mapa final'!#REF!),"")</f>
        <v>#REF!</v>
      </c>
      <c r="AA6" s="284"/>
      <c r="AB6" s="281" t="e">
        <f>IF(AND('Mapa final'!#REF!="Muy Alta",'Mapa final'!#REF!="Mayor"),CONCATENATE("R",'Mapa final'!#REF!),"")</f>
        <v>#REF!</v>
      </c>
      <c r="AC6" s="282"/>
      <c r="AD6" s="282" t="str">
        <f>IF(AND('Mapa final'!$L$11="Muy Alta",'Mapa final'!$P$11="Mayor"),CONCATENATE("R",'Mapa final'!$A$11),"")</f>
        <v/>
      </c>
      <c r="AE6" s="282"/>
      <c r="AF6" s="282" t="e">
        <f>IF(AND('Mapa final'!#REF!="Muy Alta",'Mapa final'!#REF!="Mayor"),CONCATENATE("R",'Mapa final'!#REF!),"")</f>
        <v>#REF!</v>
      </c>
      <c r="AG6" s="284"/>
      <c r="AH6" s="296" t="e">
        <f>IF(AND('Mapa final'!#REF!="Muy Alta",'Mapa final'!#REF!="Catastrófico"),CONCATENATE("R",'Mapa final'!#REF!),"")</f>
        <v>#REF!</v>
      </c>
      <c r="AI6" s="297"/>
      <c r="AJ6" s="297" t="str">
        <f>IF(AND('Mapa final'!$L$11="Muy Alta",'Mapa final'!$P$11="Catastrófico"),CONCATENATE("R",'Mapa final'!$A$11),"")</f>
        <v/>
      </c>
      <c r="AK6" s="297"/>
      <c r="AL6" s="297" t="e">
        <f>IF(AND('Mapa final'!#REF!="Muy Alta",'Mapa final'!#REF!="Catastrófico"),CONCATENATE("R",'Mapa final'!#REF!),"")</f>
        <v>#REF!</v>
      </c>
      <c r="AM6" s="298"/>
      <c r="AO6" s="234" t="s">
        <v>78</v>
      </c>
      <c r="AP6" s="235"/>
      <c r="AQ6" s="235"/>
      <c r="AR6" s="235"/>
      <c r="AS6" s="235"/>
      <c r="AT6" s="236"/>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32"/>
      <c r="C7" s="232"/>
      <c r="D7" s="233"/>
      <c r="E7" s="273"/>
      <c r="F7" s="274"/>
      <c r="G7" s="274"/>
      <c r="H7" s="274"/>
      <c r="I7" s="275"/>
      <c r="J7" s="283"/>
      <c r="K7" s="279"/>
      <c r="L7" s="279"/>
      <c r="M7" s="279"/>
      <c r="N7" s="279"/>
      <c r="O7" s="280"/>
      <c r="P7" s="283"/>
      <c r="Q7" s="279"/>
      <c r="R7" s="279"/>
      <c r="S7" s="279"/>
      <c r="T7" s="279"/>
      <c r="U7" s="280"/>
      <c r="V7" s="283"/>
      <c r="W7" s="279"/>
      <c r="X7" s="279"/>
      <c r="Y7" s="279"/>
      <c r="Z7" s="279"/>
      <c r="AA7" s="280"/>
      <c r="AB7" s="283"/>
      <c r="AC7" s="279"/>
      <c r="AD7" s="279"/>
      <c r="AE7" s="279"/>
      <c r="AF7" s="279"/>
      <c r="AG7" s="280"/>
      <c r="AH7" s="290"/>
      <c r="AI7" s="291"/>
      <c r="AJ7" s="291"/>
      <c r="AK7" s="291"/>
      <c r="AL7" s="291"/>
      <c r="AM7" s="292"/>
      <c r="AN7" s="75"/>
      <c r="AO7" s="237"/>
      <c r="AP7" s="238"/>
      <c r="AQ7" s="238"/>
      <c r="AR7" s="238"/>
      <c r="AS7" s="238"/>
      <c r="AT7" s="239"/>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32"/>
      <c r="C8" s="232"/>
      <c r="D8" s="233"/>
      <c r="E8" s="273"/>
      <c r="F8" s="274"/>
      <c r="G8" s="274"/>
      <c r="H8" s="274"/>
      <c r="I8" s="275"/>
      <c r="J8" s="283" t="e">
        <f>IF(AND('Mapa final'!#REF!="Muy Alta",'Mapa final'!#REF!="Leve"),CONCATENATE("R",'Mapa final'!#REF!),"")</f>
        <v>#REF!</v>
      </c>
      <c r="K8" s="279"/>
      <c r="L8" s="279" t="e">
        <f>IF(AND('Mapa final'!#REF!="Muy Alta",'Mapa final'!#REF!="Leve"),CONCATENATE("R",'Mapa final'!#REF!),"")</f>
        <v>#REF!</v>
      </c>
      <c r="M8" s="279"/>
      <c r="N8" s="279" t="e">
        <f>IF(AND('Mapa final'!#REF!="Muy Alta",'Mapa final'!#REF!="Leve"),CONCATENATE("R",'Mapa final'!#REF!),"")</f>
        <v>#REF!</v>
      </c>
      <c r="O8" s="280"/>
      <c r="P8" s="283" t="e">
        <f>IF(AND('Mapa final'!#REF!="Muy Alta",'Mapa final'!#REF!="Menor"),CONCATENATE("R",'Mapa final'!#REF!),"")</f>
        <v>#REF!</v>
      </c>
      <c r="Q8" s="279"/>
      <c r="R8" s="279" t="e">
        <f>IF(AND('Mapa final'!#REF!="Muy Alta",'Mapa final'!#REF!="Menor"),CONCATENATE("R",'Mapa final'!#REF!),"")</f>
        <v>#REF!</v>
      </c>
      <c r="S8" s="279"/>
      <c r="T8" s="279" t="e">
        <f>IF(AND('Mapa final'!#REF!="Muy Alta",'Mapa final'!#REF!="Menor"),CONCATENATE("R",'Mapa final'!#REF!),"")</f>
        <v>#REF!</v>
      </c>
      <c r="U8" s="280"/>
      <c r="V8" s="283" t="e">
        <f>IF(AND('Mapa final'!#REF!="Muy Alta",'Mapa final'!#REF!="Moderado"),CONCATENATE("R",'Mapa final'!#REF!),"")</f>
        <v>#REF!</v>
      </c>
      <c r="W8" s="279"/>
      <c r="X8" s="279" t="e">
        <f>IF(AND('Mapa final'!#REF!="Muy Alta",'Mapa final'!#REF!="Moderado"),CONCATENATE("R",'Mapa final'!#REF!),"")</f>
        <v>#REF!</v>
      </c>
      <c r="Y8" s="279"/>
      <c r="Z8" s="279" t="e">
        <f>IF(AND('Mapa final'!#REF!="Muy Alta",'Mapa final'!#REF!="Moderado"),CONCATENATE("R",'Mapa final'!#REF!),"")</f>
        <v>#REF!</v>
      </c>
      <c r="AA8" s="280"/>
      <c r="AB8" s="283" t="e">
        <f>IF(AND('Mapa final'!#REF!="Muy Alta",'Mapa final'!#REF!="Mayor"),CONCATENATE("R",'Mapa final'!#REF!),"")</f>
        <v>#REF!</v>
      </c>
      <c r="AC8" s="279"/>
      <c r="AD8" s="279" t="e">
        <f>IF(AND('Mapa final'!#REF!="Muy Alta",'Mapa final'!#REF!="Mayor"),CONCATENATE("R",'Mapa final'!#REF!),"")</f>
        <v>#REF!</v>
      </c>
      <c r="AE8" s="279"/>
      <c r="AF8" s="279" t="e">
        <f>IF(AND('Mapa final'!#REF!="Muy Alta",'Mapa final'!#REF!="Mayor"),CONCATENATE("R",'Mapa final'!#REF!),"")</f>
        <v>#REF!</v>
      </c>
      <c r="AG8" s="280"/>
      <c r="AH8" s="290" t="e">
        <f>IF(AND('Mapa final'!#REF!="Muy Alta",'Mapa final'!#REF!="Catastrófico"),CONCATENATE("R",'Mapa final'!#REF!),"")</f>
        <v>#REF!</v>
      </c>
      <c r="AI8" s="291"/>
      <c r="AJ8" s="291" t="e">
        <f>IF(AND('Mapa final'!#REF!="Muy Alta",'Mapa final'!#REF!="Catastrófico"),CONCATENATE("R",'Mapa final'!#REF!),"")</f>
        <v>#REF!</v>
      </c>
      <c r="AK8" s="291"/>
      <c r="AL8" s="291" t="e">
        <f>IF(AND('Mapa final'!#REF!="Muy Alta",'Mapa final'!#REF!="Catastrófico"),CONCATENATE("R",'Mapa final'!#REF!),"")</f>
        <v>#REF!</v>
      </c>
      <c r="AM8" s="292"/>
      <c r="AN8" s="75"/>
      <c r="AO8" s="237"/>
      <c r="AP8" s="238"/>
      <c r="AQ8" s="238"/>
      <c r="AR8" s="238"/>
      <c r="AS8" s="238"/>
      <c r="AT8" s="239"/>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32"/>
      <c r="C9" s="232"/>
      <c r="D9" s="233"/>
      <c r="E9" s="273"/>
      <c r="F9" s="274"/>
      <c r="G9" s="274"/>
      <c r="H9" s="274"/>
      <c r="I9" s="275"/>
      <c r="J9" s="283"/>
      <c r="K9" s="279"/>
      <c r="L9" s="279"/>
      <c r="M9" s="279"/>
      <c r="N9" s="279"/>
      <c r="O9" s="280"/>
      <c r="P9" s="283"/>
      <c r="Q9" s="279"/>
      <c r="R9" s="279"/>
      <c r="S9" s="279"/>
      <c r="T9" s="279"/>
      <c r="U9" s="280"/>
      <c r="V9" s="283"/>
      <c r="W9" s="279"/>
      <c r="X9" s="279"/>
      <c r="Y9" s="279"/>
      <c r="Z9" s="279"/>
      <c r="AA9" s="280"/>
      <c r="AB9" s="283"/>
      <c r="AC9" s="279"/>
      <c r="AD9" s="279"/>
      <c r="AE9" s="279"/>
      <c r="AF9" s="279"/>
      <c r="AG9" s="280"/>
      <c r="AH9" s="290"/>
      <c r="AI9" s="291"/>
      <c r="AJ9" s="291"/>
      <c r="AK9" s="291"/>
      <c r="AL9" s="291"/>
      <c r="AM9" s="292"/>
      <c r="AN9" s="75"/>
      <c r="AO9" s="237"/>
      <c r="AP9" s="238"/>
      <c r="AQ9" s="238"/>
      <c r="AR9" s="238"/>
      <c r="AS9" s="238"/>
      <c r="AT9" s="239"/>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32"/>
      <c r="C10" s="232"/>
      <c r="D10" s="233"/>
      <c r="E10" s="273"/>
      <c r="F10" s="274"/>
      <c r="G10" s="274"/>
      <c r="H10" s="274"/>
      <c r="I10" s="275"/>
      <c r="J10" s="283" t="e">
        <f>IF(AND('Mapa final'!#REF!="Muy Alta",'Mapa final'!#REF!="Leve"),CONCATENATE("R",'Mapa final'!#REF!),"")</f>
        <v>#REF!</v>
      </c>
      <c r="K10" s="279"/>
      <c r="L10" s="279" t="e">
        <f>IF(AND('Mapa final'!#REF!="Muy Alta",'Mapa final'!#REF!="Leve"),CONCATENATE("R",'Mapa final'!#REF!),"")</f>
        <v>#REF!</v>
      </c>
      <c r="M10" s="279"/>
      <c r="N10" s="279" t="e">
        <f>IF(AND('Mapa final'!#REF!="Muy Alta",'Mapa final'!#REF!="Leve"),CONCATENATE("R",'Mapa final'!#REF!),"")</f>
        <v>#REF!</v>
      </c>
      <c r="O10" s="280"/>
      <c r="P10" s="283" t="e">
        <f>IF(AND('Mapa final'!#REF!="Muy Alta",'Mapa final'!#REF!="Menor"),CONCATENATE("R",'Mapa final'!#REF!),"")</f>
        <v>#REF!</v>
      </c>
      <c r="Q10" s="279"/>
      <c r="R10" s="279" t="e">
        <f>IF(AND('Mapa final'!#REF!="Muy Alta",'Mapa final'!#REF!="Menor"),CONCATENATE("R",'Mapa final'!#REF!),"")</f>
        <v>#REF!</v>
      </c>
      <c r="S10" s="279"/>
      <c r="T10" s="279" t="e">
        <f>IF(AND('Mapa final'!#REF!="Muy Alta",'Mapa final'!#REF!="Menor"),CONCATENATE("R",'Mapa final'!#REF!),"")</f>
        <v>#REF!</v>
      </c>
      <c r="U10" s="280"/>
      <c r="V10" s="283" t="e">
        <f>IF(AND('Mapa final'!#REF!="Muy Alta",'Mapa final'!#REF!="Moderado"),CONCATENATE("R",'Mapa final'!#REF!),"")</f>
        <v>#REF!</v>
      </c>
      <c r="W10" s="279"/>
      <c r="X10" s="279" t="e">
        <f>IF(AND('Mapa final'!#REF!="Muy Alta",'Mapa final'!#REF!="Moderado"),CONCATENATE("R",'Mapa final'!#REF!),"")</f>
        <v>#REF!</v>
      </c>
      <c r="Y10" s="279"/>
      <c r="Z10" s="279" t="e">
        <f>IF(AND('Mapa final'!#REF!="Muy Alta",'Mapa final'!#REF!="Moderado"),CONCATENATE("R",'Mapa final'!#REF!),"")</f>
        <v>#REF!</v>
      </c>
      <c r="AA10" s="280"/>
      <c r="AB10" s="283" t="e">
        <f>IF(AND('Mapa final'!#REF!="Muy Alta",'Mapa final'!#REF!="Mayor"),CONCATENATE("R",'Mapa final'!#REF!),"")</f>
        <v>#REF!</v>
      </c>
      <c r="AC10" s="279"/>
      <c r="AD10" s="279" t="e">
        <f>IF(AND('Mapa final'!#REF!="Muy Alta",'Mapa final'!#REF!="Mayor"),CONCATENATE("R",'Mapa final'!#REF!),"")</f>
        <v>#REF!</v>
      </c>
      <c r="AE10" s="279"/>
      <c r="AF10" s="279" t="e">
        <f>IF(AND('Mapa final'!#REF!="Muy Alta",'Mapa final'!#REF!="Mayor"),CONCATENATE("R",'Mapa final'!#REF!),"")</f>
        <v>#REF!</v>
      </c>
      <c r="AG10" s="280"/>
      <c r="AH10" s="290" t="e">
        <f>IF(AND('Mapa final'!#REF!="Muy Alta",'Mapa final'!#REF!="Catastrófico"),CONCATENATE("R",'Mapa final'!#REF!),"")</f>
        <v>#REF!</v>
      </c>
      <c r="AI10" s="291"/>
      <c r="AJ10" s="291" t="e">
        <f>IF(AND('Mapa final'!#REF!="Muy Alta",'Mapa final'!#REF!="Catastrófico"),CONCATENATE("R",'Mapa final'!#REF!),"")</f>
        <v>#REF!</v>
      </c>
      <c r="AK10" s="291"/>
      <c r="AL10" s="291" t="e">
        <f>IF(AND('Mapa final'!#REF!="Muy Alta",'Mapa final'!#REF!="Catastrófico"),CONCATENATE("R",'Mapa final'!#REF!),"")</f>
        <v>#REF!</v>
      </c>
      <c r="AM10" s="292"/>
      <c r="AN10" s="75"/>
      <c r="AO10" s="237"/>
      <c r="AP10" s="238"/>
      <c r="AQ10" s="238"/>
      <c r="AR10" s="238"/>
      <c r="AS10" s="238"/>
      <c r="AT10" s="239"/>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32"/>
      <c r="C11" s="232"/>
      <c r="D11" s="233"/>
      <c r="E11" s="273"/>
      <c r="F11" s="274"/>
      <c r="G11" s="274"/>
      <c r="H11" s="274"/>
      <c r="I11" s="275"/>
      <c r="J11" s="283"/>
      <c r="K11" s="279"/>
      <c r="L11" s="279"/>
      <c r="M11" s="279"/>
      <c r="N11" s="279"/>
      <c r="O11" s="280"/>
      <c r="P11" s="283"/>
      <c r="Q11" s="279"/>
      <c r="R11" s="279"/>
      <c r="S11" s="279"/>
      <c r="T11" s="279"/>
      <c r="U11" s="280"/>
      <c r="V11" s="283"/>
      <c r="W11" s="279"/>
      <c r="X11" s="279"/>
      <c r="Y11" s="279"/>
      <c r="Z11" s="279"/>
      <c r="AA11" s="280"/>
      <c r="AB11" s="283"/>
      <c r="AC11" s="279"/>
      <c r="AD11" s="279"/>
      <c r="AE11" s="279"/>
      <c r="AF11" s="279"/>
      <c r="AG11" s="280"/>
      <c r="AH11" s="290"/>
      <c r="AI11" s="291"/>
      <c r="AJ11" s="291"/>
      <c r="AK11" s="291"/>
      <c r="AL11" s="291"/>
      <c r="AM11" s="292"/>
      <c r="AN11" s="75"/>
      <c r="AO11" s="237"/>
      <c r="AP11" s="238"/>
      <c r="AQ11" s="238"/>
      <c r="AR11" s="238"/>
      <c r="AS11" s="238"/>
      <c r="AT11" s="239"/>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32"/>
      <c r="C12" s="232"/>
      <c r="D12" s="233"/>
      <c r="E12" s="273"/>
      <c r="F12" s="274"/>
      <c r="G12" s="274"/>
      <c r="H12" s="274"/>
      <c r="I12" s="275"/>
      <c r="J12" s="283" t="e">
        <f>IF(AND('Mapa final'!#REF!="Muy Alta",'Mapa final'!#REF!="Leve"),CONCATENATE("R",'Mapa final'!#REF!),"")</f>
        <v>#REF!</v>
      </c>
      <c r="K12" s="279"/>
      <c r="L12" s="279" t="str">
        <f>IF(AND('Mapa final'!$L$17="Muy Alta",'Mapa final'!$P$17="Leve"),CONCATENATE("R",'Mapa final'!$A$17),"")</f>
        <v/>
      </c>
      <c r="M12" s="279"/>
      <c r="N12" s="279" t="str">
        <f>IF(AND('Mapa final'!$L$19="Muy Alta",'Mapa final'!$P$19="Leve"),CONCATENATE("R",'Mapa final'!$A$19),"")</f>
        <v/>
      </c>
      <c r="O12" s="280"/>
      <c r="P12" s="283" t="e">
        <f>IF(AND('Mapa final'!#REF!="Muy Alta",'Mapa final'!#REF!="Menor"),CONCATENATE("R",'Mapa final'!#REF!),"")</f>
        <v>#REF!</v>
      </c>
      <c r="Q12" s="279"/>
      <c r="R12" s="279" t="str">
        <f>IF(AND('Mapa final'!$L$17="Muy Alta",'Mapa final'!$P$17="Menor"),CONCATENATE("R",'Mapa final'!$A$17),"")</f>
        <v/>
      </c>
      <c r="S12" s="279"/>
      <c r="T12" s="279" t="str">
        <f>IF(AND('Mapa final'!$L$19="Muy Alta",'Mapa final'!$P$19="Menor"),CONCATENATE("R",'Mapa final'!$A$19),"")</f>
        <v/>
      </c>
      <c r="U12" s="280"/>
      <c r="V12" s="283" t="e">
        <f>IF(AND('Mapa final'!#REF!="Muy Alta",'Mapa final'!#REF!="Moderado"),CONCATENATE("R",'Mapa final'!#REF!),"")</f>
        <v>#REF!</v>
      </c>
      <c r="W12" s="279"/>
      <c r="X12" s="279" t="str">
        <f>IF(AND('Mapa final'!$L$17="Muy Alta",'Mapa final'!$P$17="Moderado"),CONCATENATE("R",'Mapa final'!$A$17),"")</f>
        <v/>
      </c>
      <c r="Y12" s="279"/>
      <c r="Z12" s="279" t="str">
        <f>IF(AND('Mapa final'!$L$19="Muy Alta",'Mapa final'!$P$19="Moderado"),CONCATENATE("R",'Mapa final'!$A$19),"")</f>
        <v/>
      </c>
      <c r="AA12" s="280"/>
      <c r="AB12" s="283" t="e">
        <f>IF(AND('Mapa final'!#REF!="Muy Alta",'Mapa final'!#REF!="Mayor"),CONCATENATE("R",'Mapa final'!#REF!),"")</f>
        <v>#REF!</v>
      </c>
      <c r="AC12" s="279"/>
      <c r="AD12" s="279" t="str">
        <f>IF(AND('Mapa final'!$L$17="Muy Alta",'Mapa final'!$P$17="Mayor"),CONCATENATE("R",'Mapa final'!$A$17),"")</f>
        <v/>
      </c>
      <c r="AE12" s="279"/>
      <c r="AF12" s="279" t="str">
        <f>IF(AND('Mapa final'!$L$19="Muy Alta",'Mapa final'!$P$19="Mayor"),CONCATENATE("R",'Mapa final'!$A$19),"")</f>
        <v/>
      </c>
      <c r="AG12" s="280"/>
      <c r="AH12" s="290" t="e">
        <f>IF(AND('Mapa final'!#REF!="Muy Alta",'Mapa final'!#REF!="Catastrófico"),CONCATENATE("R",'Mapa final'!#REF!),"")</f>
        <v>#REF!</v>
      </c>
      <c r="AI12" s="291"/>
      <c r="AJ12" s="291" t="str">
        <f>IF(AND('Mapa final'!$L$17="Muy Alta",'Mapa final'!$P$17="Catastrófico"),CONCATENATE("R",'Mapa final'!$A$17),"")</f>
        <v/>
      </c>
      <c r="AK12" s="291"/>
      <c r="AL12" s="291" t="str">
        <f>IF(AND('Mapa final'!$L$19="Muy Alta",'Mapa final'!$P$19="Catastrófico"),CONCATENATE("R",'Mapa final'!$A$19),"")</f>
        <v/>
      </c>
      <c r="AM12" s="292"/>
      <c r="AN12" s="75"/>
      <c r="AO12" s="237"/>
      <c r="AP12" s="238"/>
      <c r="AQ12" s="238"/>
      <c r="AR12" s="238"/>
      <c r="AS12" s="238"/>
      <c r="AT12" s="239"/>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32"/>
      <c r="C13" s="232"/>
      <c r="D13" s="233"/>
      <c r="E13" s="276"/>
      <c r="F13" s="277"/>
      <c r="G13" s="277"/>
      <c r="H13" s="277"/>
      <c r="I13" s="278"/>
      <c r="J13" s="283"/>
      <c r="K13" s="279"/>
      <c r="L13" s="279"/>
      <c r="M13" s="279"/>
      <c r="N13" s="279"/>
      <c r="O13" s="280"/>
      <c r="P13" s="283"/>
      <c r="Q13" s="279"/>
      <c r="R13" s="279"/>
      <c r="S13" s="279"/>
      <c r="T13" s="279"/>
      <c r="U13" s="280"/>
      <c r="V13" s="283"/>
      <c r="W13" s="279"/>
      <c r="X13" s="279"/>
      <c r="Y13" s="279"/>
      <c r="Z13" s="279"/>
      <c r="AA13" s="280"/>
      <c r="AB13" s="283"/>
      <c r="AC13" s="279"/>
      <c r="AD13" s="279"/>
      <c r="AE13" s="279"/>
      <c r="AF13" s="279"/>
      <c r="AG13" s="280"/>
      <c r="AH13" s="293"/>
      <c r="AI13" s="294"/>
      <c r="AJ13" s="294"/>
      <c r="AK13" s="294"/>
      <c r="AL13" s="294"/>
      <c r="AM13" s="295"/>
      <c r="AN13" s="75"/>
      <c r="AO13" s="240"/>
      <c r="AP13" s="241"/>
      <c r="AQ13" s="241"/>
      <c r="AR13" s="241"/>
      <c r="AS13" s="241"/>
      <c r="AT13" s="242"/>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32"/>
      <c r="C14" s="232"/>
      <c r="D14" s="233"/>
      <c r="E14" s="270" t="s">
        <v>114</v>
      </c>
      <c r="F14" s="271"/>
      <c r="G14" s="271"/>
      <c r="H14" s="271"/>
      <c r="I14" s="271"/>
      <c r="J14" s="305" t="e">
        <f>IF(AND('Mapa final'!#REF!="Alta",'Mapa final'!#REF!="Leve"),CONCATENATE("R",'Mapa final'!#REF!),"")</f>
        <v>#REF!</v>
      </c>
      <c r="K14" s="306"/>
      <c r="L14" s="306" t="str">
        <f>IF(AND('Mapa final'!$L$11="Alta",'Mapa final'!$P$11="Leve"),CONCATENATE("R",'Mapa final'!$A$11),"")</f>
        <v/>
      </c>
      <c r="M14" s="306"/>
      <c r="N14" s="306" t="e">
        <f>IF(AND('Mapa final'!#REF!="Alta",'Mapa final'!#REF!="Leve"),CONCATENATE("R",'Mapa final'!#REF!),"")</f>
        <v>#REF!</v>
      </c>
      <c r="O14" s="307"/>
      <c r="P14" s="305" t="e">
        <f>IF(AND('Mapa final'!#REF!="Alta",'Mapa final'!#REF!="Menor"),CONCATENATE("R",'Mapa final'!#REF!),"")</f>
        <v>#REF!</v>
      </c>
      <c r="Q14" s="306"/>
      <c r="R14" s="306" t="str">
        <f>IF(AND('Mapa final'!$L$11="Alta",'Mapa final'!$P$11="Menor"),CONCATENATE("R",'Mapa final'!$A$11),"")</f>
        <v/>
      </c>
      <c r="S14" s="306"/>
      <c r="T14" s="306" t="e">
        <f>IF(AND('Mapa final'!#REF!="Alta",'Mapa final'!#REF!="Menor"),CONCATENATE("R",'Mapa final'!#REF!),"")</f>
        <v>#REF!</v>
      </c>
      <c r="U14" s="307"/>
      <c r="V14" s="281" t="e">
        <f>IF(AND('Mapa final'!#REF!="Alta",'Mapa final'!#REF!="Moderado"),CONCATENATE("R",'Mapa final'!#REF!),"")</f>
        <v>#REF!</v>
      </c>
      <c r="W14" s="282"/>
      <c r="X14" s="282" t="str">
        <f>IF(AND('Mapa final'!$L$11="Alta",'Mapa final'!$P$11="Moderado"),CONCATENATE("R",'Mapa final'!$A$11),"")</f>
        <v/>
      </c>
      <c r="Y14" s="282"/>
      <c r="Z14" s="282" t="e">
        <f>IF(AND('Mapa final'!#REF!="Alta",'Mapa final'!#REF!="Moderado"),CONCATENATE("R",'Mapa final'!#REF!),"")</f>
        <v>#REF!</v>
      </c>
      <c r="AA14" s="284"/>
      <c r="AB14" s="281" t="e">
        <f>IF(AND('Mapa final'!#REF!="Alta",'Mapa final'!#REF!="Mayor"),CONCATENATE("R",'Mapa final'!#REF!),"")</f>
        <v>#REF!</v>
      </c>
      <c r="AC14" s="282"/>
      <c r="AD14" s="282" t="str">
        <f>IF(AND('Mapa final'!$L$11="Alta",'Mapa final'!$P$11="Mayor"),CONCATENATE("R",'Mapa final'!$A$11),"")</f>
        <v/>
      </c>
      <c r="AE14" s="282"/>
      <c r="AF14" s="282" t="e">
        <f>IF(AND('Mapa final'!#REF!="Alta",'Mapa final'!#REF!="Mayor"),CONCATENATE("R",'Mapa final'!#REF!),"")</f>
        <v>#REF!</v>
      </c>
      <c r="AG14" s="284"/>
      <c r="AH14" s="296" t="e">
        <f>IF(AND('Mapa final'!#REF!="Alta",'Mapa final'!#REF!="Catastrófico"),CONCATENATE("R",'Mapa final'!#REF!),"")</f>
        <v>#REF!</v>
      </c>
      <c r="AI14" s="297"/>
      <c r="AJ14" s="297" t="str">
        <f>IF(AND('Mapa final'!$L$11="Alta",'Mapa final'!$P$11="Catastrófico"),CONCATENATE("R",'Mapa final'!$A$11),"")</f>
        <v/>
      </c>
      <c r="AK14" s="297"/>
      <c r="AL14" s="297" t="e">
        <f>IF(AND('Mapa final'!#REF!="Alta",'Mapa final'!#REF!="Catastrófico"),CONCATENATE("R",'Mapa final'!#REF!),"")</f>
        <v>#REF!</v>
      </c>
      <c r="AM14" s="298"/>
      <c r="AN14" s="75"/>
      <c r="AO14" s="243" t="s">
        <v>79</v>
      </c>
      <c r="AP14" s="244"/>
      <c r="AQ14" s="244"/>
      <c r="AR14" s="244"/>
      <c r="AS14" s="244"/>
      <c r="AT14" s="24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32"/>
      <c r="C15" s="232"/>
      <c r="D15" s="233"/>
      <c r="E15" s="273"/>
      <c r="F15" s="274"/>
      <c r="G15" s="274"/>
      <c r="H15" s="274"/>
      <c r="I15" s="274"/>
      <c r="J15" s="299"/>
      <c r="K15" s="300"/>
      <c r="L15" s="300"/>
      <c r="M15" s="300"/>
      <c r="N15" s="300"/>
      <c r="O15" s="301"/>
      <c r="P15" s="299"/>
      <c r="Q15" s="300"/>
      <c r="R15" s="300"/>
      <c r="S15" s="300"/>
      <c r="T15" s="300"/>
      <c r="U15" s="301"/>
      <c r="V15" s="283"/>
      <c r="W15" s="279"/>
      <c r="X15" s="279"/>
      <c r="Y15" s="279"/>
      <c r="Z15" s="279"/>
      <c r="AA15" s="280"/>
      <c r="AB15" s="283"/>
      <c r="AC15" s="279"/>
      <c r="AD15" s="279"/>
      <c r="AE15" s="279"/>
      <c r="AF15" s="279"/>
      <c r="AG15" s="280"/>
      <c r="AH15" s="290"/>
      <c r="AI15" s="291"/>
      <c r="AJ15" s="291"/>
      <c r="AK15" s="291"/>
      <c r="AL15" s="291"/>
      <c r="AM15" s="292"/>
      <c r="AN15" s="75"/>
      <c r="AO15" s="246"/>
      <c r="AP15" s="247"/>
      <c r="AQ15" s="247"/>
      <c r="AR15" s="247"/>
      <c r="AS15" s="247"/>
      <c r="AT15" s="248"/>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32"/>
      <c r="C16" s="232"/>
      <c r="D16" s="233"/>
      <c r="E16" s="273"/>
      <c r="F16" s="274"/>
      <c r="G16" s="274"/>
      <c r="H16" s="274"/>
      <c r="I16" s="274"/>
      <c r="J16" s="299" t="e">
        <f>IF(AND('Mapa final'!#REF!="Alta",'Mapa final'!#REF!="Leve"),CONCATENATE("R",'Mapa final'!#REF!),"")</f>
        <v>#REF!</v>
      </c>
      <c r="K16" s="300"/>
      <c r="L16" s="300" t="e">
        <f>IF(AND('Mapa final'!#REF!="Alta",'Mapa final'!#REF!="Leve"),CONCATENATE("R",'Mapa final'!#REF!),"")</f>
        <v>#REF!</v>
      </c>
      <c r="M16" s="300"/>
      <c r="N16" s="300" t="e">
        <f>IF(AND('Mapa final'!#REF!="Alta",'Mapa final'!#REF!="Leve"),CONCATENATE("R",'Mapa final'!#REF!),"")</f>
        <v>#REF!</v>
      </c>
      <c r="O16" s="301"/>
      <c r="P16" s="299" t="e">
        <f>IF(AND('Mapa final'!#REF!="Alta",'Mapa final'!#REF!="Menor"),CONCATENATE("R",'Mapa final'!#REF!),"")</f>
        <v>#REF!</v>
      </c>
      <c r="Q16" s="300"/>
      <c r="R16" s="300" t="e">
        <f>IF(AND('Mapa final'!#REF!="Alta",'Mapa final'!#REF!="Menor"),CONCATENATE("R",'Mapa final'!#REF!),"")</f>
        <v>#REF!</v>
      </c>
      <c r="S16" s="300"/>
      <c r="T16" s="300" t="e">
        <f>IF(AND('Mapa final'!#REF!="Alta",'Mapa final'!#REF!="Menor"),CONCATENATE("R",'Mapa final'!#REF!),"")</f>
        <v>#REF!</v>
      </c>
      <c r="U16" s="301"/>
      <c r="V16" s="283" t="e">
        <f>IF(AND('Mapa final'!#REF!="Alta",'Mapa final'!#REF!="Moderado"),CONCATENATE("R",'Mapa final'!#REF!),"")</f>
        <v>#REF!</v>
      </c>
      <c r="W16" s="279"/>
      <c r="X16" s="279" t="e">
        <f>IF(AND('Mapa final'!#REF!="Alta",'Mapa final'!#REF!="Moderado"),CONCATENATE("R",'Mapa final'!#REF!),"")</f>
        <v>#REF!</v>
      </c>
      <c r="Y16" s="279"/>
      <c r="Z16" s="279" t="e">
        <f>IF(AND('Mapa final'!#REF!="Alta",'Mapa final'!#REF!="Moderado"),CONCATENATE("R",'Mapa final'!#REF!),"")</f>
        <v>#REF!</v>
      </c>
      <c r="AA16" s="280"/>
      <c r="AB16" s="283" t="e">
        <f>IF(AND('Mapa final'!#REF!="Alta",'Mapa final'!#REF!="Mayor"),CONCATENATE("R",'Mapa final'!#REF!),"")</f>
        <v>#REF!</v>
      </c>
      <c r="AC16" s="279"/>
      <c r="AD16" s="279" t="e">
        <f>IF(AND('Mapa final'!#REF!="Alta",'Mapa final'!#REF!="Mayor"),CONCATENATE("R",'Mapa final'!#REF!),"")</f>
        <v>#REF!</v>
      </c>
      <c r="AE16" s="279"/>
      <c r="AF16" s="279" t="e">
        <f>IF(AND('Mapa final'!#REF!="Alta",'Mapa final'!#REF!="Mayor"),CONCATENATE("R",'Mapa final'!#REF!),"")</f>
        <v>#REF!</v>
      </c>
      <c r="AG16" s="280"/>
      <c r="AH16" s="290" t="e">
        <f>IF(AND('Mapa final'!#REF!="Alta",'Mapa final'!#REF!="Catastrófico"),CONCATENATE("R",'Mapa final'!#REF!),"")</f>
        <v>#REF!</v>
      </c>
      <c r="AI16" s="291"/>
      <c r="AJ16" s="291" t="e">
        <f>IF(AND('Mapa final'!#REF!="Alta",'Mapa final'!#REF!="Catastrófico"),CONCATENATE("R",'Mapa final'!#REF!),"")</f>
        <v>#REF!</v>
      </c>
      <c r="AK16" s="291"/>
      <c r="AL16" s="291" t="e">
        <f>IF(AND('Mapa final'!#REF!="Alta",'Mapa final'!#REF!="Catastrófico"),CONCATENATE("R",'Mapa final'!#REF!),"")</f>
        <v>#REF!</v>
      </c>
      <c r="AM16" s="292"/>
      <c r="AN16" s="75"/>
      <c r="AO16" s="246"/>
      <c r="AP16" s="247"/>
      <c r="AQ16" s="247"/>
      <c r="AR16" s="247"/>
      <c r="AS16" s="247"/>
      <c r="AT16" s="248"/>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32"/>
      <c r="C17" s="232"/>
      <c r="D17" s="233"/>
      <c r="E17" s="273"/>
      <c r="F17" s="274"/>
      <c r="G17" s="274"/>
      <c r="H17" s="274"/>
      <c r="I17" s="274"/>
      <c r="J17" s="299"/>
      <c r="K17" s="300"/>
      <c r="L17" s="300"/>
      <c r="M17" s="300"/>
      <c r="N17" s="300"/>
      <c r="O17" s="301"/>
      <c r="P17" s="299"/>
      <c r="Q17" s="300"/>
      <c r="R17" s="300"/>
      <c r="S17" s="300"/>
      <c r="T17" s="300"/>
      <c r="U17" s="301"/>
      <c r="V17" s="283"/>
      <c r="W17" s="279"/>
      <c r="X17" s="279"/>
      <c r="Y17" s="279"/>
      <c r="Z17" s="279"/>
      <c r="AA17" s="280"/>
      <c r="AB17" s="283"/>
      <c r="AC17" s="279"/>
      <c r="AD17" s="279"/>
      <c r="AE17" s="279"/>
      <c r="AF17" s="279"/>
      <c r="AG17" s="280"/>
      <c r="AH17" s="290"/>
      <c r="AI17" s="291"/>
      <c r="AJ17" s="291"/>
      <c r="AK17" s="291"/>
      <c r="AL17" s="291"/>
      <c r="AM17" s="292"/>
      <c r="AN17" s="75"/>
      <c r="AO17" s="246"/>
      <c r="AP17" s="247"/>
      <c r="AQ17" s="247"/>
      <c r="AR17" s="247"/>
      <c r="AS17" s="247"/>
      <c r="AT17" s="248"/>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32"/>
      <c r="C18" s="232"/>
      <c r="D18" s="233"/>
      <c r="E18" s="273"/>
      <c r="F18" s="274"/>
      <c r="G18" s="274"/>
      <c r="H18" s="274"/>
      <c r="I18" s="274"/>
      <c r="J18" s="299" t="e">
        <f>IF(AND('Mapa final'!#REF!="Alta",'Mapa final'!#REF!="Leve"),CONCATENATE("R",'Mapa final'!#REF!),"")</f>
        <v>#REF!</v>
      </c>
      <c r="K18" s="300"/>
      <c r="L18" s="300" t="e">
        <f>IF(AND('Mapa final'!#REF!="Alta",'Mapa final'!#REF!="Leve"),CONCATENATE("R",'Mapa final'!#REF!),"")</f>
        <v>#REF!</v>
      </c>
      <c r="M18" s="300"/>
      <c r="N18" s="300" t="e">
        <f>IF(AND('Mapa final'!#REF!="Alta",'Mapa final'!#REF!="Leve"),CONCATENATE("R",'Mapa final'!#REF!),"")</f>
        <v>#REF!</v>
      </c>
      <c r="O18" s="301"/>
      <c r="P18" s="299" t="e">
        <f>IF(AND('Mapa final'!#REF!="Alta",'Mapa final'!#REF!="Menor"),CONCATENATE("R",'Mapa final'!#REF!),"")</f>
        <v>#REF!</v>
      </c>
      <c r="Q18" s="300"/>
      <c r="R18" s="300" t="e">
        <f>IF(AND('Mapa final'!#REF!="Alta",'Mapa final'!#REF!="Menor"),CONCATENATE("R",'Mapa final'!#REF!),"")</f>
        <v>#REF!</v>
      </c>
      <c r="S18" s="300"/>
      <c r="T18" s="300" t="e">
        <f>IF(AND('Mapa final'!#REF!="Alta",'Mapa final'!#REF!="Menor"),CONCATENATE("R",'Mapa final'!#REF!),"")</f>
        <v>#REF!</v>
      </c>
      <c r="U18" s="301"/>
      <c r="V18" s="283" t="e">
        <f>IF(AND('Mapa final'!#REF!="Alta",'Mapa final'!#REF!="Moderado"),CONCATENATE("R",'Mapa final'!#REF!),"")</f>
        <v>#REF!</v>
      </c>
      <c r="W18" s="279"/>
      <c r="X18" s="279" t="e">
        <f>IF(AND('Mapa final'!#REF!="Alta",'Mapa final'!#REF!="Moderado"),CONCATENATE("R",'Mapa final'!#REF!),"")</f>
        <v>#REF!</v>
      </c>
      <c r="Y18" s="279"/>
      <c r="Z18" s="279" t="e">
        <f>IF(AND('Mapa final'!#REF!="Alta",'Mapa final'!#REF!="Moderado"),CONCATENATE("R",'Mapa final'!#REF!),"")</f>
        <v>#REF!</v>
      </c>
      <c r="AA18" s="280"/>
      <c r="AB18" s="283" t="e">
        <f>IF(AND('Mapa final'!#REF!="Alta",'Mapa final'!#REF!="Mayor"),CONCATENATE("R",'Mapa final'!#REF!),"")</f>
        <v>#REF!</v>
      </c>
      <c r="AC18" s="279"/>
      <c r="AD18" s="279" t="e">
        <f>IF(AND('Mapa final'!#REF!="Alta",'Mapa final'!#REF!="Mayor"),CONCATENATE("R",'Mapa final'!#REF!),"")</f>
        <v>#REF!</v>
      </c>
      <c r="AE18" s="279"/>
      <c r="AF18" s="279" t="e">
        <f>IF(AND('Mapa final'!#REF!="Alta",'Mapa final'!#REF!="Mayor"),CONCATENATE("R",'Mapa final'!#REF!),"")</f>
        <v>#REF!</v>
      </c>
      <c r="AG18" s="280"/>
      <c r="AH18" s="290" t="e">
        <f>IF(AND('Mapa final'!#REF!="Alta",'Mapa final'!#REF!="Catastrófico"),CONCATENATE("R",'Mapa final'!#REF!),"")</f>
        <v>#REF!</v>
      </c>
      <c r="AI18" s="291"/>
      <c r="AJ18" s="291" t="e">
        <f>IF(AND('Mapa final'!#REF!="Alta",'Mapa final'!#REF!="Catastrófico"),CONCATENATE("R",'Mapa final'!#REF!),"")</f>
        <v>#REF!</v>
      </c>
      <c r="AK18" s="291"/>
      <c r="AL18" s="291" t="e">
        <f>IF(AND('Mapa final'!#REF!="Alta",'Mapa final'!#REF!="Catastrófico"),CONCATENATE("R",'Mapa final'!#REF!),"")</f>
        <v>#REF!</v>
      </c>
      <c r="AM18" s="292"/>
      <c r="AN18" s="75"/>
      <c r="AO18" s="246"/>
      <c r="AP18" s="247"/>
      <c r="AQ18" s="247"/>
      <c r="AR18" s="247"/>
      <c r="AS18" s="247"/>
      <c r="AT18" s="248"/>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32"/>
      <c r="C19" s="232"/>
      <c r="D19" s="233"/>
      <c r="E19" s="273"/>
      <c r="F19" s="274"/>
      <c r="G19" s="274"/>
      <c r="H19" s="274"/>
      <c r="I19" s="274"/>
      <c r="J19" s="299"/>
      <c r="K19" s="300"/>
      <c r="L19" s="300"/>
      <c r="M19" s="300"/>
      <c r="N19" s="300"/>
      <c r="O19" s="301"/>
      <c r="P19" s="299"/>
      <c r="Q19" s="300"/>
      <c r="R19" s="300"/>
      <c r="S19" s="300"/>
      <c r="T19" s="300"/>
      <c r="U19" s="301"/>
      <c r="V19" s="283"/>
      <c r="W19" s="279"/>
      <c r="X19" s="279"/>
      <c r="Y19" s="279"/>
      <c r="Z19" s="279"/>
      <c r="AA19" s="280"/>
      <c r="AB19" s="283"/>
      <c r="AC19" s="279"/>
      <c r="AD19" s="279"/>
      <c r="AE19" s="279"/>
      <c r="AF19" s="279"/>
      <c r="AG19" s="280"/>
      <c r="AH19" s="290"/>
      <c r="AI19" s="291"/>
      <c r="AJ19" s="291"/>
      <c r="AK19" s="291"/>
      <c r="AL19" s="291"/>
      <c r="AM19" s="292"/>
      <c r="AN19" s="75"/>
      <c r="AO19" s="246"/>
      <c r="AP19" s="247"/>
      <c r="AQ19" s="247"/>
      <c r="AR19" s="247"/>
      <c r="AS19" s="247"/>
      <c r="AT19" s="248"/>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32"/>
      <c r="C20" s="232"/>
      <c r="D20" s="233"/>
      <c r="E20" s="273"/>
      <c r="F20" s="274"/>
      <c r="G20" s="274"/>
      <c r="H20" s="274"/>
      <c r="I20" s="274"/>
      <c r="J20" s="299" t="e">
        <f>IF(AND('Mapa final'!#REF!="Alta",'Mapa final'!#REF!="Leve"),CONCATENATE("R",'Mapa final'!#REF!),"")</f>
        <v>#REF!</v>
      </c>
      <c r="K20" s="300"/>
      <c r="L20" s="300" t="str">
        <f>IF(AND('Mapa final'!$L$17="Alta",'Mapa final'!$P$17="Leve"),CONCATENATE("R",'Mapa final'!$A$17),"")</f>
        <v/>
      </c>
      <c r="M20" s="300"/>
      <c r="N20" s="300" t="str">
        <f>IF(AND('Mapa final'!$L$19="Alta",'Mapa final'!$P$19="Leve"),CONCATENATE("R",'Mapa final'!$A$19),"")</f>
        <v/>
      </c>
      <c r="O20" s="301"/>
      <c r="P20" s="299" t="e">
        <f>IF(AND('Mapa final'!#REF!="Alta",'Mapa final'!#REF!="Menor"),CONCATENATE("R",'Mapa final'!#REF!),"")</f>
        <v>#REF!</v>
      </c>
      <c r="Q20" s="300"/>
      <c r="R20" s="300" t="str">
        <f>IF(AND('Mapa final'!$L$17="Alta",'Mapa final'!$P$17="Menor"),CONCATENATE("R",'Mapa final'!$A$17),"")</f>
        <v/>
      </c>
      <c r="S20" s="300"/>
      <c r="T20" s="300" t="str">
        <f>IF(AND('Mapa final'!$L$19="Alta",'Mapa final'!$P$19="Menor"),CONCATENATE("R",'Mapa final'!$A$19),"")</f>
        <v/>
      </c>
      <c r="U20" s="301"/>
      <c r="V20" s="283" t="e">
        <f>IF(AND('Mapa final'!#REF!="Alta",'Mapa final'!#REF!="Moderado"),CONCATENATE("R",'Mapa final'!#REF!),"")</f>
        <v>#REF!</v>
      </c>
      <c r="W20" s="279"/>
      <c r="X20" s="279" t="str">
        <f>IF(AND('Mapa final'!$L$17="Alta",'Mapa final'!$P$17="Moderado"),CONCATENATE("R",'Mapa final'!$A$17),"")</f>
        <v/>
      </c>
      <c r="Y20" s="279"/>
      <c r="Z20" s="279" t="str">
        <f>IF(AND('Mapa final'!$L$19="Alta",'Mapa final'!$P$19="Moderado"),CONCATENATE("R",'Mapa final'!$A$19),"")</f>
        <v/>
      </c>
      <c r="AA20" s="280"/>
      <c r="AB20" s="283" t="e">
        <f>IF(AND('Mapa final'!#REF!="Alta",'Mapa final'!#REF!="Mayor"),CONCATENATE("R",'Mapa final'!#REF!),"")</f>
        <v>#REF!</v>
      </c>
      <c r="AC20" s="279"/>
      <c r="AD20" s="279" t="str">
        <f>IF(AND('Mapa final'!$L$17="Alta",'Mapa final'!$P$17="Mayor"),CONCATENATE("R",'Mapa final'!$A$17),"")</f>
        <v/>
      </c>
      <c r="AE20" s="279"/>
      <c r="AF20" s="279" t="str">
        <f>IF(AND('Mapa final'!$L$19="Alta",'Mapa final'!$P$19="Mayor"),CONCATENATE("R",'Mapa final'!$A$19),"")</f>
        <v/>
      </c>
      <c r="AG20" s="280"/>
      <c r="AH20" s="290" t="e">
        <f>IF(AND('Mapa final'!#REF!="Alta",'Mapa final'!#REF!="Catastrófico"),CONCATENATE("R",'Mapa final'!#REF!),"")</f>
        <v>#REF!</v>
      </c>
      <c r="AI20" s="291"/>
      <c r="AJ20" s="291" t="str">
        <f>IF(AND('Mapa final'!$L$17="Alta",'Mapa final'!$P$17="Catastrófico"),CONCATENATE("R",'Mapa final'!$A$17),"")</f>
        <v/>
      </c>
      <c r="AK20" s="291"/>
      <c r="AL20" s="291" t="str">
        <f>IF(AND('Mapa final'!$L$19="Alta",'Mapa final'!$P$19="Catastrófico"),CONCATENATE("R",'Mapa final'!$A$19),"")</f>
        <v/>
      </c>
      <c r="AM20" s="292"/>
      <c r="AN20" s="75"/>
      <c r="AO20" s="246"/>
      <c r="AP20" s="247"/>
      <c r="AQ20" s="247"/>
      <c r="AR20" s="247"/>
      <c r="AS20" s="247"/>
      <c r="AT20" s="248"/>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32"/>
      <c r="C21" s="232"/>
      <c r="D21" s="233"/>
      <c r="E21" s="276"/>
      <c r="F21" s="277"/>
      <c r="G21" s="277"/>
      <c r="H21" s="277"/>
      <c r="I21" s="277"/>
      <c r="J21" s="302"/>
      <c r="K21" s="303"/>
      <c r="L21" s="303"/>
      <c r="M21" s="303"/>
      <c r="N21" s="303"/>
      <c r="O21" s="304"/>
      <c r="P21" s="302"/>
      <c r="Q21" s="303"/>
      <c r="R21" s="303"/>
      <c r="S21" s="303"/>
      <c r="T21" s="303"/>
      <c r="U21" s="304"/>
      <c r="V21" s="287"/>
      <c r="W21" s="288"/>
      <c r="X21" s="288"/>
      <c r="Y21" s="288"/>
      <c r="Z21" s="288"/>
      <c r="AA21" s="289"/>
      <c r="AB21" s="287"/>
      <c r="AC21" s="288"/>
      <c r="AD21" s="288"/>
      <c r="AE21" s="288"/>
      <c r="AF21" s="288"/>
      <c r="AG21" s="289"/>
      <c r="AH21" s="293"/>
      <c r="AI21" s="294"/>
      <c r="AJ21" s="294"/>
      <c r="AK21" s="294"/>
      <c r="AL21" s="294"/>
      <c r="AM21" s="295"/>
      <c r="AN21" s="75"/>
      <c r="AO21" s="249"/>
      <c r="AP21" s="250"/>
      <c r="AQ21" s="250"/>
      <c r="AR21" s="250"/>
      <c r="AS21" s="250"/>
      <c r="AT21" s="251"/>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32"/>
      <c r="C22" s="232"/>
      <c r="D22" s="233"/>
      <c r="E22" s="270" t="s">
        <v>116</v>
      </c>
      <c r="F22" s="271"/>
      <c r="G22" s="271"/>
      <c r="H22" s="271"/>
      <c r="I22" s="272"/>
      <c r="J22" s="305" t="e">
        <f>IF(AND('Mapa final'!#REF!="Media",'Mapa final'!#REF!="Leve"),CONCATENATE("R",'Mapa final'!#REF!),"")</f>
        <v>#REF!</v>
      </c>
      <c r="K22" s="306"/>
      <c r="L22" s="306" t="str">
        <f>IF(AND('Mapa final'!$L$11="Media",'Mapa final'!$P$11="Leve"),CONCATENATE("R",'Mapa final'!$A$11),"")</f>
        <v/>
      </c>
      <c r="M22" s="306"/>
      <c r="N22" s="306" t="e">
        <f>IF(AND('Mapa final'!#REF!="Media",'Mapa final'!#REF!="Leve"),CONCATENATE("R",'Mapa final'!#REF!),"")</f>
        <v>#REF!</v>
      </c>
      <c r="O22" s="307"/>
      <c r="P22" s="305" t="e">
        <f>IF(AND('Mapa final'!#REF!="Media",'Mapa final'!#REF!="Menor"),CONCATENATE("R",'Mapa final'!#REF!),"")</f>
        <v>#REF!</v>
      </c>
      <c r="Q22" s="306"/>
      <c r="R22" s="306" t="str">
        <f>IF(AND('Mapa final'!$L$11="Media",'Mapa final'!$P$11="Menor"),CONCATENATE("R",'Mapa final'!$A$11),"")</f>
        <v/>
      </c>
      <c r="S22" s="306"/>
      <c r="T22" s="306" t="e">
        <f>IF(AND('Mapa final'!#REF!="Media",'Mapa final'!#REF!="Menor"),CONCATENATE("R",'Mapa final'!#REF!),"")</f>
        <v>#REF!</v>
      </c>
      <c r="U22" s="307"/>
      <c r="V22" s="305" t="e">
        <f>IF(AND('Mapa final'!#REF!="Media",'Mapa final'!#REF!="Moderado"),CONCATENATE("R",'Mapa final'!#REF!),"")</f>
        <v>#REF!</v>
      </c>
      <c r="W22" s="306"/>
      <c r="X22" s="306" t="str">
        <f>IF(AND('Mapa final'!$L$11="Media",'Mapa final'!$P$11="Moderado"),CONCATENATE("R",'Mapa final'!$A$11),"")</f>
        <v/>
      </c>
      <c r="Y22" s="306"/>
      <c r="Z22" s="306" t="e">
        <f>IF(AND('Mapa final'!#REF!="Media",'Mapa final'!#REF!="Moderado"),CONCATENATE("R",'Mapa final'!#REF!),"")</f>
        <v>#REF!</v>
      </c>
      <c r="AA22" s="307"/>
      <c r="AB22" s="281" t="e">
        <f>IF(AND('Mapa final'!#REF!="Media",'Mapa final'!#REF!="Mayor"),CONCATENATE("R",'Mapa final'!#REF!),"")</f>
        <v>#REF!</v>
      </c>
      <c r="AC22" s="282"/>
      <c r="AD22" s="282" t="str">
        <f>IF(AND('Mapa final'!$L$11="Media",'Mapa final'!$P$11="Mayor"),CONCATENATE("R",'Mapa final'!$A$11),"")</f>
        <v/>
      </c>
      <c r="AE22" s="282"/>
      <c r="AF22" s="282" t="e">
        <f>IF(AND('Mapa final'!#REF!="Media",'Mapa final'!#REF!="Mayor"),CONCATENATE("R",'Mapa final'!#REF!),"")</f>
        <v>#REF!</v>
      </c>
      <c r="AG22" s="284"/>
      <c r="AH22" s="296" t="e">
        <f>IF(AND('Mapa final'!#REF!="Media",'Mapa final'!#REF!="Catastrófico"),CONCATENATE("R",'Mapa final'!#REF!),"")</f>
        <v>#REF!</v>
      </c>
      <c r="AI22" s="297"/>
      <c r="AJ22" s="297" t="str">
        <f>IF(AND('Mapa final'!$L$11="Media",'Mapa final'!$P$11="Catastrófico"),CONCATENATE("R",'Mapa final'!$A$11),"")</f>
        <v/>
      </c>
      <c r="AK22" s="297"/>
      <c r="AL22" s="297" t="e">
        <f>IF(AND('Mapa final'!#REF!="Media",'Mapa final'!#REF!="Catastrófico"),CONCATENATE("R",'Mapa final'!#REF!),"")</f>
        <v>#REF!</v>
      </c>
      <c r="AM22" s="298"/>
      <c r="AN22" s="75"/>
      <c r="AO22" s="252" t="s">
        <v>80</v>
      </c>
      <c r="AP22" s="253"/>
      <c r="AQ22" s="253"/>
      <c r="AR22" s="253"/>
      <c r="AS22" s="253"/>
      <c r="AT22" s="254"/>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32"/>
      <c r="C23" s="232"/>
      <c r="D23" s="233"/>
      <c r="E23" s="273"/>
      <c r="F23" s="274"/>
      <c r="G23" s="274"/>
      <c r="H23" s="274"/>
      <c r="I23" s="275"/>
      <c r="J23" s="299"/>
      <c r="K23" s="300"/>
      <c r="L23" s="300"/>
      <c r="M23" s="300"/>
      <c r="N23" s="300"/>
      <c r="O23" s="301"/>
      <c r="P23" s="299"/>
      <c r="Q23" s="300"/>
      <c r="R23" s="300"/>
      <c r="S23" s="300"/>
      <c r="T23" s="300"/>
      <c r="U23" s="301"/>
      <c r="V23" s="299"/>
      <c r="W23" s="300"/>
      <c r="X23" s="300"/>
      <c r="Y23" s="300"/>
      <c r="Z23" s="300"/>
      <c r="AA23" s="301"/>
      <c r="AB23" s="283"/>
      <c r="AC23" s="279"/>
      <c r="AD23" s="279"/>
      <c r="AE23" s="279"/>
      <c r="AF23" s="279"/>
      <c r="AG23" s="280"/>
      <c r="AH23" s="290"/>
      <c r="AI23" s="291"/>
      <c r="AJ23" s="291"/>
      <c r="AK23" s="291"/>
      <c r="AL23" s="291"/>
      <c r="AM23" s="292"/>
      <c r="AN23" s="75"/>
      <c r="AO23" s="255"/>
      <c r="AP23" s="256"/>
      <c r="AQ23" s="256"/>
      <c r="AR23" s="256"/>
      <c r="AS23" s="256"/>
      <c r="AT23" s="257"/>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32"/>
      <c r="C24" s="232"/>
      <c r="D24" s="233"/>
      <c r="E24" s="273"/>
      <c r="F24" s="274"/>
      <c r="G24" s="274"/>
      <c r="H24" s="274"/>
      <c r="I24" s="275"/>
      <c r="J24" s="299" t="e">
        <f>IF(AND('Mapa final'!#REF!="Media",'Mapa final'!#REF!="Leve"),CONCATENATE("R",'Mapa final'!#REF!),"")</f>
        <v>#REF!</v>
      </c>
      <c r="K24" s="300"/>
      <c r="L24" s="300" t="e">
        <f>IF(AND('Mapa final'!#REF!="Media",'Mapa final'!#REF!="Leve"),CONCATENATE("R",'Mapa final'!#REF!),"")</f>
        <v>#REF!</v>
      </c>
      <c r="M24" s="300"/>
      <c r="N24" s="300" t="e">
        <f>IF(AND('Mapa final'!#REF!="Media",'Mapa final'!#REF!="Leve"),CONCATENATE("R",'Mapa final'!#REF!),"")</f>
        <v>#REF!</v>
      </c>
      <c r="O24" s="301"/>
      <c r="P24" s="299" t="e">
        <f>IF(AND('Mapa final'!#REF!="Media",'Mapa final'!#REF!="Menor"),CONCATENATE("R",'Mapa final'!#REF!),"")</f>
        <v>#REF!</v>
      </c>
      <c r="Q24" s="300"/>
      <c r="R24" s="300" t="e">
        <f>IF(AND('Mapa final'!#REF!="Media",'Mapa final'!#REF!="Menor"),CONCATENATE("R",'Mapa final'!#REF!),"")</f>
        <v>#REF!</v>
      </c>
      <c r="S24" s="300"/>
      <c r="T24" s="300" t="e">
        <f>IF(AND('Mapa final'!#REF!="Media",'Mapa final'!#REF!="Menor"),CONCATENATE("R",'Mapa final'!#REF!),"")</f>
        <v>#REF!</v>
      </c>
      <c r="U24" s="301"/>
      <c r="V24" s="299" t="e">
        <f>IF(AND('Mapa final'!#REF!="Media",'Mapa final'!#REF!="Moderado"),CONCATENATE("R",'Mapa final'!#REF!),"")</f>
        <v>#REF!</v>
      </c>
      <c r="W24" s="300"/>
      <c r="X24" s="300" t="e">
        <f>IF(AND('Mapa final'!#REF!="Media",'Mapa final'!#REF!="Moderado"),CONCATENATE("R",'Mapa final'!#REF!),"")</f>
        <v>#REF!</v>
      </c>
      <c r="Y24" s="300"/>
      <c r="Z24" s="300" t="e">
        <f>IF(AND('Mapa final'!#REF!="Media",'Mapa final'!#REF!="Moderado"),CONCATENATE("R",'Mapa final'!#REF!),"")</f>
        <v>#REF!</v>
      </c>
      <c r="AA24" s="301"/>
      <c r="AB24" s="283" t="e">
        <f>IF(AND('Mapa final'!#REF!="Media",'Mapa final'!#REF!="Mayor"),CONCATENATE("R",'Mapa final'!#REF!),"")</f>
        <v>#REF!</v>
      </c>
      <c r="AC24" s="279"/>
      <c r="AD24" s="279" t="e">
        <f>IF(AND('Mapa final'!#REF!="Media",'Mapa final'!#REF!="Mayor"),CONCATENATE("R",'Mapa final'!#REF!),"")</f>
        <v>#REF!</v>
      </c>
      <c r="AE24" s="279"/>
      <c r="AF24" s="279" t="e">
        <f>IF(AND('Mapa final'!#REF!="Media",'Mapa final'!#REF!="Mayor"),CONCATENATE("R",'Mapa final'!#REF!),"")</f>
        <v>#REF!</v>
      </c>
      <c r="AG24" s="280"/>
      <c r="AH24" s="290" t="e">
        <f>IF(AND('Mapa final'!#REF!="Media",'Mapa final'!#REF!="Catastrófico"),CONCATENATE("R",'Mapa final'!#REF!),"")</f>
        <v>#REF!</v>
      </c>
      <c r="AI24" s="291"/>
      <c r="AJ24" s="291" t="e">
        <f>IF(AND('Mapa final'!#REF!="Media",'Mapa final'!#REF!="Catastrófico"),CONCATENATE("R",'Mapa final'!#REF!),"")</f>
        <v>#REF!</v>
      </c>
      <c r="AK24" s="291"/>
      <c r="AL24" s="291" t="e">
        <f>IF(AND('Mapa final'!#REF!="Media",'Mapa final'!#REF!="Catastrófico"),CONCATENATE("R",'Mapa final'!#REF!),"")</f>
        <v>#REF!</v>
      </c>
      <c r="AM24" s="292"/>
      <c r="AN24" s="75"/>
      <c r="AO24" s="255"/>
      <c r="AP24" s="256"/>
      <c r="AQ24" s="256"/>
      <c r="AR24" s="256"/>
      <c r="AS24" s="256"/>
      <c r="AT24" s="257"/>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32"/>
      <c r="C25" s="232"/>
      <c r="D25" s="233"/>
      <c r="E25" s="273"/>
      <c r="F25" s="274"/>
      <c r="G25" s="274"/>
      <c r="H25" s="274"/>
      <c r="I25" s="275"/>
      <c r="J25" s="299"/>
      <c r="K25" s="300"/>
      <c r="L25" s="300"/>
      <c r="M25" s="300"/>
      <c r="N25" s="300"/>
      <c r="O25" s="301"/>
      <c r="P25" s="299"/>
      <c r="Q25" s="300"/>
      <c r="R25" s="300"/>
      <c r="S25" s="300"/>
      <c r="T25" s="300"/>
      <c r="U25" s="301"/>
      <c r="V25" s="299"/>
      <c r="W25" s="300"/>
      <c r="X25" s="300"/>
      <c r="Y25" s="300"/>
      <c r="Z25" s="300"/>
      <c r="AA25" s="301"/>
      <c r="AB25" s="283"/>
      <c r="AC25" s="279"/>
      <c r="AD25" s="279"/>
      <c r="AE25" s="279"/>
      <c r="AF25" s="279"/>
      <c r="AG25" s="280"/>
      <c r="AH25" s="290"/>
      <c r="AI25" s="291"/>
      <c r="AJ25" s="291"/>
      <c r="AK25" s="291"/>
      <c r="AL25" s="291"/>
      <c r="AM25" s="292"/>
      <c r="AN25" s="75"/>
      <c r="AO25" s="255"/>
      <c r="AP25" s="256"/>
      <c r="AQ25" s="256"/>
      <c r="AR25" s="256"/>
      <c r="AS25" s="256"/>
      <c r="AT25" s="257"/>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32"/>
      <c r="C26" s="232"/>
      <c r="D26" s="233"/>
      <c r="E26" s="273"/>
      <c r="F26" s="274"/>
      <c r="G26" s="274"/>
      <c r="H26" s="274"/>
      <c r="I26" s="275"/>
      <c r="J26" s="299" t="e">
        <f>IF(AND('Mapa final'!#REF!="Media",'Mapa final'!#REF!="Leve"),CONCATENATE("R",'Mapa final'!#REF!),"")</f>
        <v>#REF!</v>
      </c>
      <c r="K26" s="300"/>
      <c r="L26" s="300" t="e">
        <f>IF(AND('Mapa final'!#REF!="Media",'Mapa final'!#REF!="Leve"),CONCATENATE("R",'Mapa final'!#REF!),"")</f>
        <v>#REF!</v>
      </c>
      <c r="M26" s="300"/>
      <c r="N26" s="300" t="e">
        <f>IF(AND('Mapa final'!#REF!="Media",'Mapa final'!#REF!="Leve"),CONCATENATE("R",'Mapa final'!#REF!),"")</f>
        <v>#REF!</v>
      </c>
      <c r="O26" s="301"/>
      <c r="P26" s="299" t="e">
        <f>IF(AND('Mapa final'!#REF!="Media",'Mapa final'!#REF!="Menor"),CONCATENATE("R",'Mapa final'!#REF!),"")</f>
        <v>#REF!</v>
      </c>
      <c r="Q26" s="300"/>
      <c r="R26" s="300" t="e">
        <f>IF(AND('Mapa final'!#REF!="Media",'Mapa final'!#REF!="Menor"),CONCATENATE("R",'Mapa final'!#REF!),"")</f>
        <v>#REF!</v>
      </c>
      <c r="S26" s="300"/>
      <c r="T26" s="300" t="e">
        <f>IF(AND('Mapa final'!#REF!="Media",'Mapa final'!#REF!="Menor"),CONCATENATE("R",'Mapa final'!#REF!),"")</f>
        <v>#REF!</v>
      </c>
      <c r="U26" s="301"/>
      <c r="V26" s="299" t="e">
        <f>IF(AND('Mapa final'!#REF!="Media",'Mapa final'!#REF!="Moderado"),CONCATENATE("R",'Mapa final'!#REF!),"")</f>
        <v>#REF!</v>
      </c>
      <c r="W26" s="300"/>
      <c r="X26" s="300" t="e">
        <f>IF(AND('Mapa final'!#REF!="Media",'Mapa final'!#REF!="Moderado"),CONCATENATE("R",'Mapa final'!#REF!),"")</f>
        <v>#REF!</v>
      </c>
      <c r="Y26" s="300"/>
      <c r="Z26" s="300" t="e">
        <f>IF(AND('Mapa final'!#REF!="Media",'Mapa final'!#REF!="Moderado"),CONCATENATE("R",'Mapa final'!#REF!),"")</f>
        <v>#REF!</v>
      </c>
      <c r="AA26" s="301"/>
      <c r="AB26" s="283" t="e">
        <f>IF(AND('Mapa final'!#REF!="Media",'Mapa final'!#REF!="Mayor"),CONCATENATE("R",'Mapa final'!#REF!),"")</f>
        <v>#REF!</v>
      </c>
      <c r="AC26" s="279"/>
      <c r="AD26" s="279" t="e">
        <f>IF(AND('Mapa final'!#REF!="Media",'Mapa final'!#REF!="Mayor"),CONCATENATE("R",'Mapa final'!#REF!),"")</f>
        <v>#REF!</v>
      </c>
      <c r="AE26" s="279"/>
      <c r="AF26" s="279" t="e">
        <f>IF(AND('Mapa final'!#REF!="Media",'Mapa final'!#REF!="Mayor"),CONCATENATE("R",'Mapa final'!#REF!),"")</f>
        <v>#REF!</v>
      </c>
      <c r="AG26" s="280"/>
      <c r="AH26" s="290" t="e">
        <f>IF(AND('Mapa final'!#REF!="Media",'Mapa final'!#REF!="Catastrófico"),CONCATENATE("R",'Mapa final'!#REF!),"")</f>
        <v>#REF!</v>
      </c>
      <c r="AI26" s="291"/>
      <c r="AJ26" s="291" t="e">
        <f>IF(AND('Mapa final'!#REF!="Media",'Mapa final'!#REF!="Catastrófico"),CONCATENATE("R",'Mapa final'!#REF!),"")</f>
        <v>#REF!</v>
      </c>
      <c r="AK26" s="291"/>
      <c r="AL26" s="291" t="e">
        <f>IF(AND('Mapa final'!#REF!="Media",'Mapa final'!#REF!="Catastrófico"),CONCATENATE("R",'Mapa final'!#REF!),"")</f>
        <v>#REF!</v>
      </c>
      <c r="AM26" s="292"/>
      <c r="AN26" s="75"/>
      <c r="AO26" s="255"/>
      <c r="AP26" s="256"/>
      <c r="AQ26" s="256"/>
      <c r="AR26" s="256"/>
      <c r="AS26" s="256"/>
      <c r="AT26" s="257"/>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32"/>
      <c r="C27" s="232"/>
      <c r="D27" s="233"/>
      <c r="E27" s="273"/>
      <c r="F27" s="274"/>
      <c r="G27" s="274"/>
      <c r="H27" s="274"/>
      <c r="I27" s="275"/>
      <c r="J27" s="299"/>
      <c r="K27" s="300"/>
      <c r="L27" s="300"/>
      <c r="M27" s="300"/>
      <c r="N27" s="300"/>
      <c r="O27" s="301"/>
      <c r="P27" s="299"/>
      <c r="Q27" s="300"/>
      <c r="R27" s="300"/>
      <c r="S27" s="300"/>
      <c r="T27" s="300"/>
      <c r="U27" s="301"/>
      <c r="V27" s="299"/>
      <c r="W27" s="300"/>
      <c r="X27" s="300"/>
      <c r="Y27" s="300"/>
      <c r="Z27" s="300"/>
      <c r="AA27" s="301"/>
      <c r="AB27" s="283"/>
      <c r="AC27" s="279"/>
      <c r="AD27" s="279"/>
      <c r="AE27" s="279"/>
      <c r="AF27" s="279"/>
      <c r="AG27" s="280"/>
      <c r="AH27" s="290"/>
      <c r="AI27" s="291"/>
      <c r="AJ27" s="291"/>
      <c r="AK27" s="291"/>
      <c r="AL27" s="291"/>
      <c r="AM27" s="292"/>
      <c r="AN27" s="75"/>
      <c r="AO27" s="255"/>
      <c r="AP27" s="256"/>
      <c r="AQ27" s="256"/>
      <c r="AR27" s="256"/>
      <c r="AS27" s="256"/>
      <c r="AT27" s="257"/>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32"/>
      <c r="C28" s="232"/>
      <c r="D28" s="233"/>
      <c r="E28" s="273"/>
      <c r="F28" s="274"/>
      <c r="G28" s="274"/>
      <c r="H28" s="274"/>
      <c r="I28" s="275"/>
      <c r="J28" s="299" t="e">
        <f>IF(AND('Mapa final'!#REF!="Media",'Mapa final'!#REF!="Leve"),CONCATENATE("R",'Mapa final'!#REF!),"")</f>
        <v>#REF!</v>
      </c>
      <c r="K28" s="300"/>
      <c r="L28" s="300" t="str">
        <f>IF(AND('Mapa final'!$L$17="Media",'Mapa final'!$P$17="Leve"),CONCATENATE("R",'Mapa final'!$A$17),"")</f>
        <v/>
      </c>
      <c r="M28" s="300"/>
      <c r="N28" s="300" t="str">
        <f>IF(AND('Mapa final'!$L$19="Media",'Mapa final'!$P$19="Leve"),CONCATENATE("R",'Mapa final'!$A$19),"")</f>
        <v/>
      </c>
      <c r="O28" s="301"/>
      <c r="P28" s="299" t="e">
        <f>IF(AND('Mapa final'!#REF!="Media",'Mapa final'!#REF!="Menor"),CONCATENATE("R",'Mapa final'!#REF!),"")</f>
        <v>#REF!</v>
      </c>
      <c r="Q28" s="300"/>
      <c r="R28" s="300" t="str">
        <f>IF(AND('Mapa final'!$L$17="Media",'Mapa final'!$P$17="Menor"),CONCATENATE("R",'Mapa final'!$A$17),"")</f>
        <v/>
      </c>
      <c r="S28" s="300"/>
      <c r="T28" s="300" t="str">
        <f>IF(AND('Mapa final'!$L$19="Media",'Mapa final'!$P$19="Menor"),CONCATENATE("R",'Mapa final'!$A$19),"")</f>
        <v/>
      </c>
      <c r="U28" s="301"/>
      <c r="V28" s="299" t="e">
        <f>IF(AND('Mapa final'!#REF!="Media",'Mapa final'!#REF!="Moderado"),CONCATENATE("R",'Mapa final'!#REF!),"")</f>
        <v>#REF!</v>
      </c>
      <c r="W28" s="300"/>
      <c r="X28" s="300" t="str">
        <f>IF(AND('Mapa final'!$L$17="Media",'Mapa final'!$P$17="Moderado"),CONCATENATE("R",'Mapa final'!$A$17),"")</f>
        <v/>
      </c>
      <c r="Y28" s="300"/>
      <c r="Z28" s="300" t="str">
        <f>IF(AND('Mapa final'!$L$19="Media",'Mapa final'!$P$19="Moderado"),CONCATENATE("R",'Mapa final'!$A$19),"")</f>
        <v/>
      </c>
      <c r="AA28" s="301"/>
      <c r="AB28" s="283" t="e">
        <f>IF(AND('Mapa final'!#REF!="Media",'Mapa final'!#REF!="Mayor"),CONCATENATE("R",'Mapa final'!#REF!),"")</f>
        <v>#REF!</v>
      </c>
      <c r="AC28" s="279"/>
      <c r="AD28" s="279" t="str">
        <f>IF(AND('Mapa final'!$L$17="Media",'Mapa final'!$P$17="Mayor"),CONCATENATE("R",'Mapa final'!$A$17),"")</f>
        <v/>
      </c>
      <c r="AE28" s="279"/>
      <c r="AF28" s="279" t="str">
        <f>IF(AND('Mapa final'!$L$19="Media",'Mapa final'!$P$19="Mayor"),CONCATENATE("R",'Mapa final'!$A$19),"")</f>
        <v/>
      </c>
      <c r="AG28" s="280"/>
      <c r="AH28" s="290" t="e">
        <f>IF(AND('Mapa final'!#REF!="Media",'Mapa final'!#REF!="Catastrófico"),CONCATENATE("R",'Mapa final'!#REF!),"")</f>
        <v>#REF!</v>
      </c>
      <c r="AI28" s="291"/>
      <c r="AJ28" s="291" t="str">
        <f>IF(AND('Mapa final'!$L$17="Media",'Mapa final'!$P$17="Catastrófico"),CONCATENATE("R",'Mapa final'!$A$17),"")</f>
        <v/>
      </c>
      <c r="AK28" s="291"/>
      <c r="AL28" s="291" t="str">
        <f>IF(AND('Mapa final'!$L$19="Media",'Mapa final'!$P$19="Catastrófico"),CONCATENATE("R",'Mapa final'!$A$19),"")</f>
        <v/>
      </c>
      <c r="AM28" s="292"/>
      <c r="AN28" s="75"/>
      <c r="AO28" s="255"/>
      <c r="AP28" s="256"/>
      <c r="AQ28" s="256"/>
      <c r="AR28" s="256"/>
      <c r="AS28" s="256"/>
      <c r="AT28" s="257"/>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32"/>
      <c r="C29" s="232"/>
      <c r="D29" s="233"/>
      <c r="E29" s="276"/>
      <c r="F29" s="277"/>
      <c r="G29" s="277"/>
      <c r="H29" s="277"/>
      <c r="I29" s="278"/>
      <c r="J29" s="299"/>
      <c r="K29" s="300"/>
      <c r="L29" s="300"/>
      <c r="M29" s="300"/>
      <c r="N29" s="300"/>
      <c r="O29" s="301"/>
      <c r="P29" s="302"/>
      <c r="Q29" s="303"/>
      <c r="R29" s="303"/>
      <c r="S29" s="303"/>
      <c r="T29" s="303"/>
      <c r="U29" s="304"/>
      <c r="V29" s="302"/>
      <c r="W29" s="303"/>
      <c r="X29" s="303"/>
      <c r="Y29" s="303"/>
      <c r="Z29" s="303"/>
      <c r="AA29" s="304"/>
      <c r="AB29" s="287"/>
      <c r="AC29" s="288"/>
      <c r="AD29" s="288"/>
      <c r="AE29" s="288"/>
      <c r="AF29" s="288"/>
      <c r="AG29" s="289"/>
      <c r="AH29" s="293"/>
      <c r="AI29" s="294"/>
      <c r="AJ29" s="294"/>
      <c r="AK29" s="294"/>
      <c r="AL29" s="294"/>
      <c r="AM29" s="295"/>
      <c r="AN29" s="75"/>
      <c r="AO29" s="258"/>
      <c r="AP29" s="259"/>
      <c r="AQ29" s="259"/>
      <c r="AR29" s="259"/>
      <c r="AS29" s="259"/>
      <c r="AT29" s="260"/>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32"/>
      <c r="C30" s="232"/>
      <c r="D30" s="233"/>
      <c r="E30" s="270" t="s">
        <v>113</v>
      </c>
      <c r="F30" s="271"/>
      <c r="G30" s="271"/>
      <c r="H30" s="271"/>
      <c r="I30" s="271"/>
      <c r="J30" s="314" t="e">
        <f>IF(AND('Mapa final'!#REF!="Baja",'Mapa final'!#REF!="Leve"),CONCATENATE("R",'Mapa final'!#REF!),"")</f>
        <v>#REF!</v>
      </c>
      <c r="K30" s="315"/>
      <c r="L30" s="315" t="str">
        <f>IF(AND('Mapa final'!$L$11="Baja",'Mapa final'!$P$11="Leve"),CONCATENATE("R",'Mapa final'!$A$11),"")</f>
        <v/>
      </c>
      <c r="M30" s="315"/>
      <c r="N30" s="315" t="e">
        <f>IF(AND('Mapa final'!#REF!="Baja",'Mapa final'!#REF!="Leve"),CONCATENATE("R",'Mapa final'!#REF!),"")</f>
        <v>#REF!</v>
      </c>
      <c r="O30" s="316"/>
      <c r="P30" s="306" t="e">
        <f>IF(AND('Mapa final'!#REF!="Baja",'Mapa final'!#REF!="Menor"),CONCATENATE("R",'Mapa final'!#REF!),"")</f>
        <v>#REF!</v>
      </c>
      <c r="Q30" s="306"/>
      <c r="R30" s="306" t="str">
        <f>IF(AND('Mapa final'!$L$11="Baja",'Mapa final'!$P$11="Menor"),CONCATENATE("R",'Mapa final'!$A$11),"")</f>
        <v/>
      </c>
      <c r="S30" s="306"/>
      <c r="T30" s="306" t="e">
        <f>IF(AND('Mapa final'!#REF!="Baja",'Mapa final'!#REF!="Menor"),CONCATENATE("R",'Mapa final'!#REF!),"")</f>
        <v>#REF!</v>
      </c>
      <c r="U30" s="307"/>
      <c r="V30" s="305" t="e">
        <f>IF(AND('Mapa final'!#REF!="Baja",'Mapa final'!#REF!="Moderado"),CONCATENATE("R",'Mapa final'!#REF!),"")</f>
        <v>#REF!</v>
      </c>
      <c r="W30" s="306"/>
      <c r="X30" s="306" t="str">
        <f>IF(AND('Mapa final'!$L$11="Baja",'Mapa final'!$P$11="Moderado"),CONCATENATE("R",'Mapa final'!$A$11),"")</f>
        <v/>
      </c>
      <c r="Y30" s="306"/>
      <c r="Z30" s="306" t="e">
        <f>IF(AND('Mapa final'!#REF!="Baja",'Mapa final'!#REF!="Moderado"),CONCATENATE("R",'Mapa final'!#REF!),"")</f>
        <v>#REF!</v>
      </c>
      <c r="AA30" s="307"/>
      <c r="AB30" s="281" t="e">
        <f>IF(AND('Mapa final'!#REF!="Baja",'Mapa final'!#REF!="Mayor"),CONCATENATE("R",'Mapa final'!#REF!),"")</f>
        <v>#REF!</v>
      </c>
      <c r="AC30" s="282"/>
      <c r="AD30" s="282" t="str">
        <f>IF(AND('Mapa final'!$L$11="Baja",'Mapa final'!$P$11="Mayor"),CONCATENATE("R",'Mapa final'!$A$11),"")</f>
        <v/>
      </c>
      <c r="AE30" s="282"/>
      <c r="AF30" s="282" t="e">
        <f>IF(AND('Mapa final'!#REF!="Baja",'Mapa final'!#REF!="Mayor"),CONCATENATE("R",'Mapa final'!#REF!),"")</f>
        <v>#REF!</v>
      </c>
      <c r="AG30" s="284"/>
      <c r="AH30" s="296" t="e">
        <f>IF(AND('Mapa final'!#REF!="Baja",'Mapa final'!#REF!="Catastrófico"),CONCATENATE("R",'Mapa final'!#REF!),"")</f>
        <v>#REF!</v>
      </c>
      <c r="AI30" s="297"/>
      <c r="AJ30" s="297" t="str">
        <f>IF(AND('Mapa final'!$L$11="Baja",'Mapa final'!$P$11="Catastrófico"),CONCATENATE("R",'Mapa final'!$A$11),"")</f>
        <v/>
      </c>
      <c r="AK30" s="297"/>
      <c r="AL30" s="297" t="e">
        <f>IF(AND('Mapa final'!#REF!="Baja",'Mapa final'!#REF!="Catastrófico"),CONCATENATE("R",'Mapa final'!#REF!),"")</f>
        <v>#REF!</v>
      </c>
      <c r="AM30" s="298"/>
      <c r="AN30" s="75"/>
      <c r="AO30" s="261" t="s">
        <v>81</v>
      </c>
      <c r="AP30" s="262"/>
      <c r="AQ30" s="262"/>
      <c r="AR30" s="262"/>
      <c r="AS30" s="262"/>
      <c r="AT30" s="263"/>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32"/>
      <c r="C31" s="232"/>
      <c r="D31" s="233"/>
      <c r="E31" s="273"/>
      <c r="F31" s="274"/>
      <c r="G31" s="274"/>
      <c r="H31" s="274"/>
      <c r="I31" s="274"/>
      <c r="J31" s="310"/>
      <c r="K31" s="308"/>
      <c r="L31" s="308"/>
      <c r="M31" s="308"/>
      <c r="N31" s="308"/>
      <c r="O31" s="309"/>
      <c r="P31" s="300"/>
      <c r="Q31" s="300"/>
      <c r="R31" s="300"/>
      <c r="S31" s="300"/>
      <c r="T31" s="300"/>
      <c r="U31" s="301"/>
      <c r="V31" s="299"/>
      <c r="W31" s="300"/>
      <c r="X31" s="300"/>
      <c r="Y31" s="300"/>
      <c r="Z31" s="300"/>
      <c r="AA31" s="301"/>
      <c r="AB31" s="283"/>
      <c r="AC31" s="279"/>
      <c r="AD31" s="279"/>
      <c r="AE31" s="279"/>
      <c r="AF31" s="279"/>
      <c r="AG31" s="280"/>
      <c r="AH31" s="290"/>
      <c r="AI31" s="291"/>
      <c r="AJ31" s="291"/>
      <c r="AK31" s="291"/>
      <c r="AL31" s="291"/>
      <c r="AM31" s="292"/>
      <c r="AN31" s="75"/>
      <c r="AO31" s="264"/>
      <c r="AP31" s="265"/>
      <c r="AQ31" s="265"/>
      <c r="AR31" s="265"/>
      <c r="AS31" s="265"/>
      <c r="AT31" s="266"/>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32"/>
      <c r="C32" s="232"/>
      <c r="D32" s="233"/>
      <c r="E32" s="273"/>
      <c r="F32" s="274"/>
      <c r="G32" s="274"/>
      <c r="H32" s="274"/>
      <c r="I32" s="274"/>
      <c r="J32" s="310" t="e">
        <f>IF(AND('Mapa final'!#REF!="Baja",'Mapa final'!#REF!="Leve"),CONCATENATE("R",'Mapa final'!#REF!),"")</f>
        <v>#REF!</v>
      </c>
      <c r="K32" s="308"/>
      <c r="L32" s="308" t="e">
        <f>IF(AND('Mapa final'!#REF!="Baja",'Mapa final'!#REF!="Leve"),CONCATENATE("R",'Mapa final'!#REF!),"")</f>
        <v>#REF!</v>
      </c>
      <c r="M32" s="308"/>
      <c r="N32" s="308" t="e">
        <f>IF(AND('Mapa final'!#REF!="Baja",'Mapa final'!#REF!="Leve"),CONCATENATE("R",'Mapa final'!#REF!),"")</f>
        <v>#REF!</v>
      </c>
      <c r="O32" s="309"/>
      <c r="P32" s="300" t="e">
        <f>IF(AND('Mapa final'!#REF!="Baja",'Mapa final'!#REF!="Menor"),CONCATENATE("R",'Mapa final'!#REF!),"")</f>
        <v>#REF!</v>
      </c>
      <c r="Q32" s="300"/>
      <c r="R32" s="300" t="e">
        <f>IF(AND('Mapa final'!#REF!="Baja",'Mapa final'!#REF!="Menor"),CONCATENATE("R",'Mapa final'!#REF!),"")</f>
        <v>#REF!</v>
      </c>
      <c r="S32" s="300"/>
      <c r="T32" s="300" t="e">
        <f>IF(AND('Mapa final'!#REF!="Baja",'Mapa final'!#REF!="Menor"),CONCATENATE("R",'Mapa final'!#REF!),"")</f>
        <v>#REF!</v>
      </c>
      <c r="U32" s="301"/>
      <c r="V32" s="299" t="e">
        <f>IF(AND('Mapa final'!#REF!="Baja",'Mapa final'!#REF!="Moderado"),CONCATENATE("R",'Mapa final'!#REF!),"")</f>
        <v>#REF!</v>
      </c>
      <c r="W32" s="300"/>
      <c r="X32" s="300" t="e">
        <f>IF(AND('Mapa final'!#REF!="Baja",'Mapa final'!#REF!="Moderado"),CONCATENATE("R",'Mapa final'!#REF!),"")</f>
        <v>#REF!</v>
      </c>
      <c r="Y32" s="300"/>
      <c r="Z32" s="300" t="e">
        <f>IF(AND('Mapa final'!#REF!="Baja",'Mapa final'!#REF!="Moderado"),CONCATENATE("R",'Mapa final'!#REF!),"")</f>
        <v>#REF!</v>
      </c>
      <c r="AA32" s="301"/>
      <c r="AB32" s="283" t="e">
        <f>IF(AND('Mapa final'!#REF!="Baja",'Mapa final'!#REF!="Mayor"),CONCATENATE("R",'Mapa final'!#REF!),"")</f>
        <v>#REF!</v>
      </c>
      <c r="AC32" s="279"/>
      <c r="AD32" s="279" t="e">
        <f>IF(AND('Mapa final'!#REF!="Baja",'Mapa final'!#REF!="Mayor"),CONCATENATE("R",'Mapa final'!#REF!),"")</f>
        <v>#REF!</v>
      </c>
      <c r="AE32" s="279"/>
      <c r="AF32" s="279" t="e">
        <f>IF(AND('Mapa final'!#REF!="Baja",'Mapa final'!#REF!="Mayor"),CONCATENATE("R",'Mapa final'!#REF!),"")</f>
        <v>#REF!</v>
      </c>
      <c r="AG32" s="280"/>
      <c r="AH32" s="290" t="e">
        <f>IF(AND('Mapa final'!#REF!="Baja",'Mapa final'!#REF!="Catastrófico"),CONCATENATE("R",'Mapa final'!#REF!),"")</f>
        <v>#REF!</v>
      </c>
      <c r="AI32" s="291"/>
      <c r="AJ32" s="291" t="e">
        <f>IF(AND('Mapa final'!#REF!="Baja",'Mapa final'!#REF!="Catastrófico"),CONCATENATE("R",'Mapa final'!#REF!),"")</f>
        <v>#REF!</v>
      </c>
      <c r="AK32" s="291"/>
      <c r="AL32" s="291" t="e">
        <f>IF(AND('Mapa final'!#REF!="Baja",'Mapa final'!#REF!="Catastrófico"),CONCATENATE("R",'Mapa final'!#REF!),"")</f>
        <v>#REF!</v>
      </c>
      <c r="AM32" s="292"/>
      <c r="AN32" s="75"/>
      <c r="AO32" s="264"/>
      <c r="AP32" s="265"/>
      <c r="AQ32" s="265"/>
      <c r="AR32" s="265"/>
      <c r="AS32" s="265"/>
      <c r="AT32" s="266"/>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32"/>
      <c r="C33" s="232"/>
      <c r="D33" s="233"/>
      <c r="E33" s="273"/>
      <c r="F33" s="274"/>
      <c r="G33" s="274"/>
      <c r="H33" s="274"/>
      <c r="I33" s="274"/>
      <c r="J33" s="310"/>
      <c r="K33" s="308"/>
      <c r="L33" s="308"/>
      <c r="M33" s="308"/>
      <c r="N33" s="308"/>
      <c r="O33" s="309"/>
      <c r="P33" s="300"/>
      <c r="Q33" s="300"/>
      <c r="R33" s="300"/>
      <c r="S33" s="300"/>
      <c r="T33" s="300"/>
      <c r="U33" s="301"/>
      <c r="V33" s="299"/>
      <c r="W33" s="300"/>
      <c r="X33" s="300"/>
      <c r="Y33" s="300"/>
      <c r="Z33" s="300"/>
      <c r="AA33" s="301"/>
      <c r="AB33" s="283"/>
      <c r="AC33" s="279"/>
      <c r="AD33" s="279"/>
      <c r="AE33" s="279"/>
      <c r="AF33" s="279"/>
      <c r="AG33" s="280"/>
      <c r="AH33" s="290"/>
      <c r="AI33" s="291"/>
      <c r="AJ33" s="291"/>
      <c r="AK33" s="291"/>
      <c r="AL33" s="291"/>
      <c r="AM33" s="292"/>
      <c r="AN33" s="75"/>
      <c r="AO33" s="264"/>
      <c r="AP33" s="265"/>
      <c r="AQ33" s="265"/>
      <c r="AR33" s="265"/>
      <c r="AS33" s="265"/>
      <c r="AT33" s="266"/>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32"/>
      <c r="C34" s="232"/>
      <c r="D34" s="233"/>
      <c r="E34" s="273"/>
      <c r="F34" s="274"/>
      <c r="G34" s="274"/>
      <c r="H34" s="274"/>
      <c r="I34" s="274"/>
      <c r="J34" s="310" t="e">
        <f>IF(AND('Mapa final'!#REF!="Baja",'Mapa final'!#REF!="Leve"),CONCATENATE("R",'Mapa final'!#REF!),"")</f>
        <v>#REF!</v>
      </c>
      <c r="K34" s="308"/>
      <c r="L34" s="308" t="e">
        <f>IF(AND('Mapa final'!#REF!="Baja",'Mapa final'!#REF!="Leve"),CONCATENATE("R",'Mapa final'!#REF!),"")</f>
        <v>#REF!</v>
      </c>
      <c r="M34" s="308"/>
      <c r="N34" s="308" t="e">
        <f>IF(AND('Mapa final'!#REF!="Baja",'Mapa final'!#REF!="Leve"),CONCATENATE("R",'Mapa final'!#REF!),"")</f>
        <v>#REF!</v>
      </c>
      <c r="O34" s="309"/>
      <c r="P34" s="300" t="e">
        <f>IF(AND('Mapa final'!#REF!="Baja",'Mapa final'!#REF!="Menor"),CONCATENATE("R",'Mapa final'!#REF!),"")</f>
        <v>#REF!</v>
      </c>
      <c r="Q34" s="300"/>
      <c r="R34" s="300" t="e">
        <f>IF(AND('Mapa final'!#REF!="Baja",'Mapa final'!#REF!="Menor"),CONCATENATE("R",'Mapa final'!#REF!),"")</f>
        <v>#REF!</v>
      </c>
      <c r="S34" s="300"/>
      <c r="T34" s="300" t="e">
        <f>IF(AND('Mapa final'!#REF!="Baja",'Mapa final'!#REF!="Menor"),CONCATENATE("R",'Mapa final'!#REF!),"")</f>
        <v>#REF!</v>
      </c>
      <c r="U34" s="301"/>
      <c r="V34" s="299" t="e">
        <f>IF(AND('Mapa final'!#REF!="Baja",'Mapa final'!#REF!="Moderado"),CONCATENATE("R",'Mapa final'!#REF!),"")</f>
        <v>#REF!</v>
      </c>
      <c r="W34" s="300"/>
      <c r="X34" s="300" t="e">
        <f>IF(AND('Mapa final'!#REF!="Baja",'Mapa final'!#REF!="Moderado"),CONCATENATE("R",'Mapa final'!#REF!),"")</f>
        <v>#REF!</v>
      </c>
      <c r="Y34" s="300"/>
      <c r="Z34" s="300" t="e">
        <f>IF(AND('Mapa final'!#REF!="Baja",'Mapa final'!#REF!="Moderado"),CONCATENATE("R",'Mapa final'!#REF!),"")</f>
        <v>#REF!</v>
      </c>
      <c r="AA34" s="301"/>
      <c r="AB34" s="283" t="e">
        <f>IF(AND('Mapa final'!#REF!="Baja",'Mapa final'!#REF!="Mayor"),CONCATENATE("R",'Mapa final'!#REF!),"")</f>
        <v>#REF!</v>
      </c>
      <c r="AC34" s="279"/>
      <c r="AD34" s="279" t="e">
        <f>IF(AND('Mapa final'!#REF!="Baja",'Mapa final'!#REF!="Mayor"),CONCATENATE("R",'Mapa final'!#REF!),"")</f>
        <v>#REF!</v>
      </c>
      <c r="AE34" s="279"/>
      <c r="AF34" s="279" t="e">
        <f>IF(AND('Mapa final'!#REF!="Baja",'Mapa final'!#REF!="Mayor"),CONCATENATE("R",'Mapa final'!#REF!),"")</f>
        <v>#REF!</v>
      </c>
      <c r="AG34" s="280"/>
      <c r="AH34" s="290" t="e">
        <f>IF(AND('Mapa final'!#REF!="Baja",'Mapa final'!#REF!="Catastrófico"),CONCATENATE("R",'Mapa final'!#REF!),"")</f>
        <v>#REF!</v>
      </c>
      <c r="AI34" s="291"/>
      <c r="AJ34" s="291" t="e">
        <f>IF(AND('Mapa final'!#REF!="Baja",'Mapa final'!#REF!="Catastrófico"),CONCATENATE("R",'Mapa final'!#REF!),"")</f>
        <v>#REF!</v>
      </c>
      <c r="AK34" s="291"/>
      <c r="AL34" s="291" t="e">
        <f>IF(AND('Mapa final'!#REF!="Baja",'Mapa final'!#REF!="Catastrófico"),CONCATENATE("R",'Mapa final'!#REF!),"")</f>
        <v>#REF!</v>
      </c>
      <c r="AM34" s="292"/>
      <c r="AN34" s="75"/>
      <c r="AO34" s="264"/>
      <c r="AP34" s="265"/>
      <c r="AQ34" s="265"/>
      <c r="AR34" s="265"/>
      <c r="AS34" s="265"/>
      <c r="AT34" s="266"/>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32"/>
      <c r="C35" s="232"/>
      <c r="D35" s="233"/>
      <c r="E35" s="273"/>
      <c r="F35" s="274"/>
      <c r="G35" s="274"/>
      <c r="H35" s="274"/>
      <c r="I35" s="274"/>
      <c r="J35" s="310"/>
      <c r="K35" s="308"/>
      <c r="L35" s="308"/>
      <c r="M35" s="308"/>
      <c r="N35" s="308"/>
      <c r="O35" s="309"/>
      <c r="P35" s="300"/>
      <c r="Q35" s="300"/>
      <c r="R35" s="300"/>
      <c r="S35" s="300"/>
      <c r="T35" s="300"/>
      <c r="U35" s="301"/>
      <c r="V35" s="299"/>
      <c r="W35" s="300"/>
      <c r="X35" s="300"/>
      <c r="Y35" s="300"/>
      <c r="Z35" s="300"/>
      <c r="AA35" s="301"/>
      <c r="AB35" s="283"/>
      <c r="AC35" s="279"/>
      <c r="AD35" s="279"/>
      <c r="AE35" s="279"/>
      <c r="AF35" s="279"/>
      <c r="AG35" s="280"/>
      <c r="AH35" s="290"/>
      <c r="AI35" s="291"/>
      <c r="AJ35" s="291"/>
      <c r="AK35" s="291"/>
      <c r="AL35" s="291"/>
      <c r="AM35" s="292"/>
      <c r="AN35" s="75"/>
      <c r="AO35" s="264"/>
      <c r="AP35" s="265"/>
      <c r="AQ35" s="265"/>
      <c r="AR35" s="265"/>
      <c r="AS35" s="265"/>
      <c r="AT35" s="266"/>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32"/>
      <c r="C36" s="232"/>
      <c r="D36" s="233"/>
      <c r="E36" s="273"/>
      <c r="F36" s="274"/>
      <c r="G36" s="274"/>
      <c r="H36" s="274"/>
      <c r="I36" s="274"/>
      <c r="J36" s="310" t="e">
        <f>IF(AND('Mapa final'!#REF!="Baja",'Mapa final'!#REF!="Leve"),CONCATENATE("R",'Mapa final'!#REF!),"")</f>
        <v>#REF!</v>
      </c>
      <c r="K36" s="308"/>
      <c r="L36" s="308" t="str">
        <f>IF(AND('Mapa final'!$L$17="Baja",'Mapa final'!$P$17="Leve"),CONCATENATE("R",'Mapa final'!$A$17),"")</f>
        <v/>
      </c>
      <c r="M36" s="308"/>
      <c r="N36" s="308" t="str">
        <f>IF(AND('Mapa final'!$L$19="Baja",'Mapa final'!$P$19="Leve"),CONCATENATE("R",'Mapa final'!$A$19),"")</f>
        <v/>
      </c>
      <c r="O36" s="309"/>
      <c r="P36" s="300" t="e">
        <f>IF(AND('Mapa final'!#REF!="Baja",'Mapa final'!#REF!="Menor"),CONCATENATE("R",'Mapa final'!#REF!),"")</f>
        <v>#REF!</v>
      </c>
      <c r="Q36" s="300"/>
      <c r="R36" s="300" t="str">
        <f>IF(AND('Mapa final'!$L$17="Baja",'Mapa final'!$P$17="Menor"),CONCATENATE("R",'Mapa final'!$A$17),"")</f>
        <v/>
      </c>
      <c r="S36" s="300"/>
      <c r="T36" s="300" t="str">
        <f>IF(AND('Mapa final'!$L$19="Baja",'Mapa final'!$P$19="Menor"),CONCATENATE("R",'Mapa final'!$A$19),"")</f>
        <v/>
      </c>
      <c r="U36" s="301"/>
      <c r="V36" s="299" t="e">
        <f>IF(AND('Mapa final'!#REF!="Baja",'Mapa final'!#REF!="Moderado"),CONCATENATE("R",'Mapa final'!#REF!),"")</f>
        <v>#REF!</v>
      </c>
      <c r="W36" s="300"/>
      <c r="X36" s="300" t="str">
        <f>IF(AND('Mapa final'!$L$17="Baja",'Mapa final'!$P$17="Moderado"),CONCATENATE("R",'Mapa final'!$A$17),"")</f>
        <v/>
      </c>
      <c r="Y36" s="300"/>
      <c r="Z36" s="300" t="str">
        <f>IF(AND('Mapa final'!$L$19="Baja",'Mapa final'!$P$19="Moderado"),CONCATENATE("R",'Mapa final'!$A$19),"")</f>
        <v/>
      </c>
      <c r="AA36" s="301"/>
      <c r="AB36" s="283" t="e">
        <f>IF(AND('Mapa final'!#REF!="Baja",'Mapa final'!#REF!="Mayor"),CONCATENATE("R",'Mapa final'!#REF!),"")</f>
        <v>#REF!</v>
      </c>
      <c r="AC36" s="279"/>
      <c r="AD36" s="279" t="str">
        <f>IF(AND('Mapa final'!$L$17="Baja",'Mapa final'!$P$17="Mayor"),CONCATENATE("R",'Mapa final'!$A$17),"")</f>
        <v/>
      </c>
      <c r="AE36" s="279"/>
      <c r="AF36" s="279" t="str">
        <f>IF(AND('Mapa final'!$L$19="Baja",'Mapa final'!$P$19="Mayor"),CONCATENATE("R",'Mapa final'!$A$19),"")</f>
        <v/>
      </c>
      <c r="AG36" s="280"/>
      <c r="AH36" s="290" t="e">
        <f>IF(AND('Mapa final'!#REF!="Baja",'Mapa final'!#REF!="Catastrófico"),CONCATENATE("R",'Mapa final'!#REF!),"")</f>
        <v>#REF!</v>
      </c>
      <c r="AI36" s="291"/>
      <c r="AJ36" s="291" t="str">
        <f>IF(AND('Mapa final'!$L$17="Baja",'Mapa final'!$P$17="Catastrófico"),CONCATENATE("R",'Mapa final'!$A$17),"")</f>
        <v/>
      </c>
      <c r="AK36" s="291"/>
      <c r="AL36" s="291" t="str">
        <f>IF(AND('Mapa final'!$L$19="Baja",'Mapa final'!$P$19="Catastrófico"),CONCATENATE("R",'Mapa final'!$A$19),"")</f>
        <v/>
      </c>
      <c r="AM36" s="292"/>
      <c r="AN36" s="75"/>
      <c r="AO36" s="264"/>
      <c r="AP36" s="265"/>
      <c r="AQ36" s="265"/>
      <c r="AR36" s="265"/>
      <c r="AS36" s="265"/>
      <c r="AT36" s="266"/>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32"/>
      <c r="C37" s="232"/>
      <c r="D37" s="233"/>
      <c r="E37" s="276"/>
      <c r="F37" s="277"/>
      <c r="G37" s="277"/>
      <c r="H37" s="277"/>
      <c r="I37" s="277"/>
      <c r="J37" s="311"/>
      <c r="K37" s="312"/>
      <c r="L37" s="312"/>
      <c r="M37" s="312"/>
      <c r="N37" s="312"/>
      <c r="O37" s="313"/>
      <c r="P37" s="303"/>
      <c r="Q37" s="303"/>
      <c r="R37" s="303"/>
      <c r="S37" s="303"/>
      <c r="T37" s="303"/>
      <c r="U37" s="304"/>
      <c r="V37" s="302"/>
      <c r="W37" s="303"/>
      <c r="X37" s="303"/>
      <c r="Y37" s="303"/>
      <c r="Z37" s="303"/>
      <c r="AA37" s="304"/>
      <c r="AB37" s="287"/>
      <c r="AC37" s="288"/>
      <c r="AD37" s="288"/>
      <c r="AE37" s="288"/>
      <c r="AF37" s="288"/>
      <c r="AG37" s="289"/>
      <c r="AH37" s="293"/>
      <c r="AI37" s="294"/>
      <c r="AJ37" s="294"/>
      <c r="AK37" s="294"/>
      <c r="AL37" s="294"/>
      <c r="AM37" s="295"/>
      <c r="AN37" s="75"/>
      <c r="AO37" s="267"/>
      <c r="AP37" s="268"/>
      <c r="AQ37" s="268"/>
      <c r="AR37" s="268"/>
      <c r="AS37" s="268"/>
      <c r="AT37" s="269"/>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32"/>
      <c r="C38" s="232"/>
      <c r="D38" s="233"/>
      <c r="E38" s="270" t="s">
        <v>112</v>
      </c>
      <c r="F38" s="271"/>
      <c r="G38" s="271"/>
      <c r="H38" s="271"/>
      <c r="I38" s="272"/>
      <c r="J38" s="314" t="e">
        <f>IF(AND('Mapa final'!#REF!="Muy Baja",'Mapa final'!#REF!="Leve"),CONCATENATE("R",'Mapa final'!#REF!),"")</f>
        <v>#REF!</v>
      </c>
      <c r="K38" s="315"/>
      <c r="L38" s="315" t="str">
        <f>IF(AND('Mapa final'!$L$11="Muy Baja",'Mapa final'!$P$11="Leve"),CONCATENATE("R",'Mapa final'!$A$11),"")</f>
        <v/>
      </c>
      <c r="M38" s="315"/>
      <c r="N38" s="315" t="e">
        <f>IF(AND('Mapa final'!#REF!="Muy Baja",'Mapa final'!#REF!="Leve"),CONCATENATE("R",'Mapa final'!#REF!),"")</f>
        <v>#REF!</v>
      </c>
      <c r="O38" s="316"/>
      <c r="P38" s="314" t="e">
        <f>IF(AND('Mapa final'!#REF!="Muy Baja",'Mapa final'!#REF!="Menor"),CONCATENATE("R",'Mapa final'!#REF!),"")</f>
        <v>#REF!</v>
      </c>
      <c r="Q38" s="315"/>
      <c r="R38" s="315" t="str">
        <f>IF(AND('Mapa final'!$L$11="Muy Baja",'Mapa final'!$P$11="Menor"),CONCATENATE("R",'Mapa final'!$A$11),"")</f>
        <v/>
      </c>
      <c r="S38" s="315"/>
      <c r="T38" s="315" t="e">
        <f>IF(AND('Mapa final'!#REF!="Muy Baja",'Mapa final'!#REF!="Menor"),CONCATENATE("R",'Mapa final'!#REF!),"")</f>
        <v>#REF!</v>
      </c>
      <c r="U38" s="316"/>
      <c r="V38" s="305" t="e">
        <f>IF(AND('Mapa final'!#REF!="Muy Baja",'Mapa final'!#REF!="Moderado"),CONCATENATE("R",'Mapa final'!#REF!),"")</f>
        <v>#REF!</v>
      </c>
      <c r="W38" s="306"/>
      <c r="X38" s="306" t="str">
        <f>IF(AND('Mapa final'!$L$11="Muy Baja",'Mapa final'!$P$11="Moderado"),CONCATENATE("R",'Mapa final'!$A$11),"")</f>
        <v/>
      </c>
      <c r="Y38" s="306"/>
      <c r="Z38" s="306" t="e">
        <f>IF(AND('Mapa final'!#REF!="Muy Baja",'Mapa final'!#REF!="Moderado"),CONCATENATE("R",'Mapa final'!#REF!),"")</f>
        <v>#REF!</v>
      </c>
      <c r="AA38" s="307"/>
      <c r="AB38" s="281" t="e">
        <f>IF(AND('Mapa final'!#REF!="Muy Baja",'Mapa final'!#REF!="Mayor"),CONCATENATE("R",'Mapa final'!#REF!),"")</f>
        <v>#REF!</v>
      </c>
      <c r="AC38" s="282"/>
      <c r="AD38" s="282" t="str">
        <f>IF(AND('Mapa final'!$L$11="Muy Baja",'Mapa final'!$P$11="Mayor"),CONCATENATE("R",'Mapa final'!$A$11),"")</f>
        <v/>
      </c>
      <c r="AE38" s="282"/>
      <c r="AF38" s="282" t="e">
        <f>IF(AND('Mapa final'!#REF!="Muy Baja",'Mapa final'!#REF!="Mayor"),CONCATENATE("R",'Mapa final'!#REF!),"")</f>
        <v>#REF!</v>
      </c>
      <c r="AG38" s="284"/>
      <c r="AH38" s="296" t="e">
        <f>IF(AND('Mapa final'!#REF!="Muy Baja",'Mapa final'!#REF!="Catastrófico"),CONCATENATE("R",'Mapa final'!#REF!),"")</f>
        <v>#REF!</v>
      </c>
      <c r="AI38" s="297"/>
      <c r="AJ38" s="297" t="str">
        <f>IF(AND('Mapa final'!$L$11="Muy Baja",'Mapa final'!$P$11="Catastrófico"),CONCATENATE("R",'Mapa final'!$A$11),"")</f>
        <v>R1</v>
      </c>
      <c r="AK38" s="297"/>
      <c r="AL38" s="297" t="e">
        <f>IF(AND('Mapa final'!#REF!="Muy Baja",'Mapa final'!#REF!="Catastrófico"),CONCATENATE("R",'Mapa final'!#REF!),"")</f>
        <v>#REF!</v>
      </c>
      <c r="AM38" s="298"/>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32"/>
      <c r="C39" s="232"/>
      <c r="D39" s="233"/>
      <c r="E39" s="273"/>
      <c r="F39" s="274"/>
      <c r="G39" s="274"/>
      <c r="H39" s="274"/>
      <c r="I39" s="275"/>
      <c r="J39" s="310"/>
      <c r="K39" s="308"/>
      <c r="L39" s="308"/>
      <c r="M39" s="308"/>
      <c r="N39" s="308"/>
      <c r="O39" s="309"/>
      <c r="P39" s="310"/>
      <c r="Q39" s="308"/>
      <c r="R39" s="308"/>
      <c r="S39" s="308"/>
      <c r="T39" s="308"/>
      <c r="U39" s="309"/>
      <c r="V39" s="299"/>
      <c r="W39" s="300"/>
      <c r="X39" s="300"/>
      <c r="Y39" s="300"/>
      <c r="Z39" s="300"/>
      <c r="AA39" s="301"/>
      <c r="AB39" s="283"/>
      <c r="AC39" s="279"/>
      <c r="AD39" s="279"/>
      <c r="AE39" s="279"/>
      <c r="AF39" s="279"/>
      <c r="AG39" s="280"/>
      <c r="AH39" s="290"/>
      <c r="AI39" s="291"/>
      <c r="AJ39" s="291"/>
      <c r="AK39" s="291"/>
      <c r="AL39" s="291"/>
      <c r="AM39" s="292"/>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32"/>
      <c r="C40" s="232"/>
      <c r="D40" s="233"/>
      <c r="E40" s="273"/>
      <c r="F40" s="274"/>
      <c r="G40" s="274"/>
      <c r="H40" s="274"/>
      <c r="I40" s="275"/>
      <c r="J40" s="310" t="e">
        <f>IF(AND('Mapa final'!#REF!="Muy Baja",'Mapa final'!#REF!="Leve"),CONCATENATE("R",'Mapa final'!#REF!),"")</f>
        <v>#REF!</v>
      </c>
      <c r="K40" s="308"/>
      <c r="L40" s="308" t="e">
        <f>IF(AND('Mapa final'!#REF!="Muy Baja",'Mapa final'!#REF!="Leve"),CONCATENATE("R",'Mapa final'!#REF!),"")</f>
        <v>#REF!</v>
      </c>
      <c r="M40" s="308"/>
      <c r="N40" s="308" t="e">
        <f>IF(AND('Mapa final'!#REF!="Muy Baja",'Mapa final'!#REF!="Leve"),CONCATENATE("R",'Mapa final'!#REF!),"")</f>
        <v>#REF!</v>
      </c>
      <c r="O40" s="309"/>
      <c r="P40" s="310" t="e">
        <f>IF(AND('Mapa final'!#REF!="Muy Baja",'Mapa final'!#REF!="Menor"),CONCATENATE("R",'Mapa final'!#REF!),"")</f>
        <v>#REF!</v>
      </c>
      <c r="Q40" s="308"/>
      <c r="R40" s="308" t="e">
        <f>IF(AND('Mapa final'!#REF!="Muy Baja",'Mapa final'!#REF!="Menor"),CONCATENATE("R",'Mapa final'!#REF!),"")</f>
        <v>#REF!</v>
      </c>
      <c r="S40" s="308"/>
      <c r="T40" s="308" t="e">
        <f>IF(AND('Mapa final'!#REF!="Muy Baja",'Mapa final'!#REF!="Menor"),CONCATENATE("R",'Mapa final'!#REF!),"")</f>
        <v>#REF!</v>
      </c>
      <c r="U40" s="309"/>
      <c r="V40" s="299" t="e">
        <f>IF(AND('Mapa final'!#REF!="Muy Baja",'Mapa final'!#REF!="Moderado"),CONCATENATE("R",'Mapa final'!#REF!),"")</f>
        <v>#REF!</v>
      </c>
      <c r="W40" s="300"/>
      <c r="X40" s="300" t="e">
        <f>IF(AND('Mapa final'!#REF!="Muy Baja",'Mapa final'!#REF!="Moderado"),CONCATENATE("R",'Mapa final'!#REF!),"")</f>
        <v>#REF!</v>
      </c>
      <c r="Y40" s="300"/>
      <c r="Z40" s="300" t="e">
        <f>IF(AND('Mapa final'!#REF!="Muy Baja",'Mapa final'!#REF!="Moderado"),CONCATENATE("R",'Mapa final'!#REF!),"")</f>
        <v>#REF!</v>
      </c>
      <c r="AA40" s="301"/>
      <c r="AB40" s="283" t="e">
        <f>IF(AND('Mapa final'!#REF!="Muy Baja",'Mapa final'!#REF!="Mayor"),CONCATENATE("R",'Mapa final'!#REF!),"")</f>
        <v>#REF!</v>
      </c>
      <c r="AC40" s="279"/>
      <c r="AD40" s="279" t="e">
        <f>IF(AND('Mapa final'!#REF!="Muy Baja",'Mapa final'!#REF!="Mayor"),CONCATENATE("R",'Mapa final'!#REF!),"")</f>
        <v>#REF!</v>
      </c>
      <c r="AE40" s="279"/>
      <c r="AF40" s="279" t="e">
        <f>IF(AND('Mapa final'!#REF!="Muy Baja",'Mapa final'!#REF!="Mayor"),CONCATENATE("R",'Mapa final'!#REF!),"")</f>
        <v>#REF!</v>
      </c>
      <c r="AG40" s="280"/>
      <c r="AH40" s="290" t="e">
        <f>IF(AND('Mapa final'!#REF!="Muy Baja",'Mapa final'!#REF!="Catastrófico"),CONCATENATE("R",'Mapa final'!#REF!),"")</f>
        <v>#REF!</v>
      </c>
      <c r="AI40" s="291"/>
      <c r="AJ40" s="291" t="e">
        <f>IF(AND('Mapa final'!#REF!="Muy Baja",'Mapa final'!#REF!="Catastrófico"),CONCATENATE("R",'Mapa final'!#REF!),"")</f>
        <v>#REF!</v>
      </c>
      <c r="AK40" s="291"/>
      <c r="AL40" s="291" t="e">
        <f>IF(AND('Mapa final'!#REF!="Muy Baja",'Mapa final'!#REF!="Catastrófico"),CONCATENATE("R",'Mapa final'!#REF!),"")</f>
        <v>#REF!</v>
      </c>
      <c r="AM40" s="292"/>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32"/>
      <c r="C41" s="232"/>
      <c r="D41" s="233"/>
      <c r="E41" s="273"/>
      <c r="F41" s="274"/>
      <c r="G41" s="274"/>
      <c r="H41" s="274"/>
      <c r="I41" s="275"/>
      <c r="J41" s="310"/>
      <c r="K41" s="308"/>
      <c r="L41" s="308"/>
      <c r="M41" s="308"/>
      <c r="N41" s="308"/>
      <c r="O41" s="309"/>
      <c r="P41" s="310"/>
      <c r="Q41" s="308"/>
      <c r="R41" s="308"/>
      <c r="S41" s="308"/>
      <c r="T41" s="308"/>
      <c r="U41" s="309"/>
      <c r="V41" s="299"/>
      <c r="W41" s="300"/>
      <c r="X41" s="300"/>
      <c r="Y41" s="300"/>
      <c r="Z41" s="300"/>
      <c r="AA41" s="301"/>
      <c r="AB41" s="283"/>
      <c r="AC41" s="279"/>
      <c r="AD41" s="279"/>
      <c r="AE41" s="279"/>
      <c r="AF41" s="279"/>
      <c r="AG41" s="280"/>
      <c r="AH41" s="290"/>
      <c r="AI41" s="291"/>
      <c r="AJ41" s="291"/>
      <c r="AK41" s="291"/>
      <c r="AL41" s="291"/>
      <c r="AM41" s="292"/>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32"/>
      <c r="C42" s="232"/>
      <c r="D42" s="233"/>
      <c r="E42" s="273"/>
      <c r="F42" s="274"/>
      <c r="G42" s="274"/>
      <c r="H42" s="274"/>
      <c r="I42" s="275"/>
      <c r="J42" s="310" t="e">
        <f>IF(AND('Mapa final'!#REF!="Muy Baja",'Mapa final'!#REF!="Leve"),CONCATENATE("R",'Mapa final'!#REF!),"")</f>
        <v>#REF!</v>
      </c>
      <c r="K42" s="308"/>
      <c r="L42" s="308" t="e">
        <f>IF(AND('Mapa final'!#REF!="Muy Baja",'Mapa final'!#REF!="Leve"),CONCATENATE("R",'Mapa final'!#REF!),"")</f>
        <v>#REF!</v>
      </c>
      <c r="M42" s="308"/>
      <c r="N42" s="308" t="e">
        <f>IF(AND('Mapa final'!#REF!="Muy Baja",'Mapa final'!#REF!="Leve"),CONCATENATE("R",'Mapa final'!#REF!),"")</f>
        <v>#REF!</v>
      </c>
      <c r="O42" s="309"/>
      <c r="P42" s="310" t="e">
        <f>IF(AND('Mapa final'!#REF!="Muy Baja",'Mapa final'!#REF!="Menor"),CONCATENATE("R",'Mapa final'!#REF!),"")</f>
        <v>#REF!</v>
      </c>
      <c r="Q42" s="308"/>
      <c r="R42" s="308" t="e">
        <f>IF(AND('Mapa final'!#REF!="Muy Baja",'Mapa final'!#REF!="Menor"),CONCATENATE("R",'Mapa final'!#REF!),"")</f>
        <v>#REF!</v>
      </c>
      <c r="S42" s="308"/>
      <c r="T42" s="308" t="e">
        <f>IF(AND('Mapa final'!#REF!="Muy Baja",'Mapa final'!#REF!="Menor"),CONCATENATE("R",'Mapa final'!#REF!),"")</f>
        <v>#REF!</v>
      </c>
      <c r="U42" s="309"/>
      <c r="V42" s="299" t="e">
        <f>IF(AND('Mapa final'!#REF!="Muy Baja",'Mapa final'!#REF!="Moderado"),CONCATENATE("R",'Mapa final'!#REF!),"")</f>
        <v>#REF!</v>
      </c>
      <c r="W42" s="300"/>
      <c r="X42" s="300" t="e">
        <f>IF(AND('Mapa final'!#REF!="Muy Baja",'Mapa final'!#REF!="Moderado"),CONCATENATE("R",'Mapa final'!#REF!),"")</f>
        <v>#REF!</v>
      </c>
      <c r="Y42" s="300"/>
      <c r="Z42" s="300" t="e">
        <f>IF(AND('Mapa final'!#REF!="Muy Baja",'Mapa final'!#REF!="Moderado"),CONCATENATE("R",'Mapa final'!#REF!),"")</f>
        <v>#REF!</v>
      </c>
      <c r="AA42" s="301"/>
      <c r="AB42" s="283" t="e">
        <f>IF(AND('Mapa final'!#REF!="Muy Baja",'Mapa final'!#REF!="Mayor"),CONCATENATE("R",'Mapa final'!#REF!),"")</f>
        <v>#REF!</v>
      </c>
      <c r="AC42" s="279"/>
      <c r="AD42" s="279" t="e">
        <f>IF(AND('Mapa final'!#REF!="Muy Baja",'Mapa final'!#REF!="Mayor"),CONCATENATE("R",'Mapa final'!#REF!),"")</f>
        <v>#REF!</v>
      </c>
      <c r="AE42" s="279"/>
      <c r="AF42" s="279" t="e">
        <f>IF(AND('Mapa final'!#REF!="Muy Baja",'Mapa final'!#REF!="Mayor"),CONCATENATE("R",'Mapa final'!#REF!),"")</f>
        <v>#REF!</v>
      </c>
      <c r="AG42" s="280"/>
      <c r="AH42" s="290" t="e">
        <f>IF(AND('Mapa final'!#REF!="Muy Baja",'Mapa final'!#REF!="Catastrófico"),CONCATENATE("R",'Mapa final'!#REF!),"")</f>
        <v>#REF!</v>
      </c>
      <c r="AI42" s="291"/>
      <c r="AJ42" s="291" t="e">
        <f>IF(AND('Mapa final'!#REF!="Muy Baja",'Mapa final'!#REF!="Catastrófico"),CONCATENATE("R",'Mapa final'!#REF!),"")</f>
        <v>#REF!</v>
      </c>
      <c r="AK42" s="291"/>
      <c r="AL42" s="291" t="e">
        <f>IF(AND('Mapa final'!#REF!="Muy Baja",'Mapa final'!#REF!="Catastrófico"),CONCATENATE("R",'Mapa final'!#REF!),"")</f>
        <v>#REF!</v>
      </c>
      <c r="AM42" s="292"/>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32"/>
      <c r="C43" s="232"/>
      <c r="D43" s="233"/>
      <c r="E43" s="273"/>
      <c r="F43" s="274"/>
      <c r="G43" s="274"/>
      <c r="H43" s="274"/>
      <c r="I43" s="275"/>
      <c r="J43" s="310"/>
      <c r="K43" s="308"/>
      <c r="L43" s="308"/>
      <c r="M43" s="308"/>
      <c r="N43" s="308"/>
      <c r="O43" s="309"/>
      <c r="P43" s="310"/>
      <c r="Q43" s="308"/>
      <c r="R43" s="308"/>
      <c r="S43" s="308"/>
      <c r="T43" s="308"/>
      <c r="U43" s="309"/>
      <c r="V43" s="299"/>
      <c r="W43" s="300"/>
      <c r="X43" s="300"/>
      <c r="Y43" s="300"/>
      <c r="Z43" s="300"/>
      <c r="AA43" s="301"/>
      <c r="AB43" s="283"/>
      <c r="AC43" s="279"/>
      <c r="AD43" s="279"/>
      <c r="AE43" s="279"/>
      <c r="AF43" s="279"/>
      <c r="AG43" s="280"/>
      <c r="AH43" s="290"/>
      <c r="AI43" s="291"/>
      <c r="AJ43" s="291"/>
      <c r="AK43" s="291"/>
      <c r="AL43" s="291"/>
      <c r="AM43" s="292"/>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32"/>
      <c r="C44" s="232"/>
      <c r="D44" s="233"/>
      <c r="E44" s="273"/>
      <c r="F44" s="274"/>
      <c r="G44" s="274"/>
      <c r="H44" s="274"/>
      <c r="I44" s="275"/>
      <c r="J44" s="310" t="e">
        <f>IF(AND('Mapa final'!#REF!="Muy Baja",'Mapa final'!#REF!="Leve"),CONCATENATE("R",'Mapa final'!#REF!),"")</f>
        <v>#REF!</v>
      </c>
      <c r="K44" s="308"/>
      <c r="L44" s="308" t="str">
        <f>IF(AND('Mapa final'!$L$17="Muy Baja",'Mapa final'!$P$17="Leve"),CONCATENATE("R",'Mapa final'!$A$17),"")</f>
        <v/>
      </c>
      <c r="M44" s="308"/>
      <c r="N44" s="308" t="str">
        <f>IF(AND('Mapa final'!$L$19="Muy Baja",'Mapa final'!$P$19="Leve"),CONCATENATE("R",'Mapa final'!$A$19),"")</f>
        <v/>
      </c>
      <c r="O44" s="309"/>
      <c r="P44" s="310" t="e">
        <f>IF(AND('Mapa final'!#REF!="Muy Baja",'Mapa final'!#REF!="Menor"),CONCATENATE("R",'Mapa final'!#REF!),"")</f>
        <v>#REF!</v>
      </c>
      <c r="Q44" s="308"/>
      <c r="R44" s="308" t="str">
        <f>IF(AND('Mapa final'!$L$17="Muy Baja",'Mapa final'!$P$17="Menor"),CONCATENATE("R",'Mapa final'!$A$17),"")</f>
        <v/>
      </c>
      <c r="S44" s="308"/>
      <c r="T44" s="308" t="str">
        <f>IF(AND('Mapa final'!$L$19="Muy Baja",'Mapa final'!$P$19="Menor"),CONCATENATE("R",'Mapa final'!$A$19),"")</f>
        <v/>
      </c>
      <c r="U44" s="309"/>
      <c r="V44" s="299" t="e">
        <f>IF(AND('Mapa final'!#REF!="Muy Baja",'Mapa final'!#REF!="Moderado"),CONCATENATE("R",'Mapa final'!#REF!),"")</f>
        <v>#REF!</v>
      </c>
      <c r="W44" s="300"/>
      <c r="X44" s="300" t="str">
        <f>IF(AND('Mapa final'!$L$17="Muy Baja",'Mapa final'!$P$17="Moderado"),CONCATENATE("R",'Mapa final'!$A$17),"")</f>
        <v/>
      </c>
      <c r="Y44" s="300"/>
      <c r="Z44" s="300" t="str">
        <f>IF(AND('Mapa final'!$L$19="Muy Baja",'Mapa final'!$P$19="Moderado"),CONCATENATE("R",'Mapa final'!$A$19),"")</f>
        <v/>
      </c>
      <c r="AA44" s="301"/>
      <c r="AB44" s="283" t="e">
        <f>IF(AND('Mapa final'!#REF!="Muy Baja",'Mapa final'!#REF!="Mayor"),CONCATENATE("R",'Mapa final'!#REF!),"")</f>
        <v>#REF!</v>
      </c>
      <c r="AC44" s="279"/>
      <c r="AD44" s="279" t="str">
        <f>IF(AND('Mapa final'!$L$17="Muy Baja",'Mapa final'!$P$17="Mayor"),CONCATENATE("R",'Mapa final'!$A$17),"")</f>
        <v/>
      </c>
      <c r="AE44" s="279"/>
      <c r="AF44" s="279" t="str">
        <f>IF(AND('Mapa final'!$L$19="Muy Baja",'Mapa final'!$P$19="Mayor"),CONCATENATE("R",'Mapa final'!$A$19),"")</f>
        <v/>
      </c>
      <c r="AG44" s="280"/>
      <c r="AH44" s="290" t="e">
        <f>IF(AND('Mapa final'!#REF!="Muy Baja",'Mapa final'!#REF!="Catastrófico"),CONCATENATE("R",'Mapa final'!#REF!),"")</f>
        <v>#REF!</v>
      </c>
      <c r="AI44" s="291"/>
      <c r="AJ44" s="291" t="str">
        <f>IF(AND('Mapa final'!$L$17="Muy Baja",'Mapa final'!$P$17="Catastrófico"),CONCATENATE("R",'Mapa final'!$A$17),"")</f>
        <v/>
      </c>
      <c r="AK44" s="291"/>
      <c r="AL44" s="291" t="str">
        <f>IF(AND('Mapa final'!$L$19="Muy Baja",'Mapa final'!$P$19="Catastrófico"),CONCATENATE("R",'Mapa final'!$A$19),"")</f>
        <v/>
      </c>
      <c r="AM44" s="292"/>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32"/>
      <c r="C45" s="232"/>
      <c r="D45" s="233"/>
      <c r="E45" s="276"/>
      <c r="F45" s="277"/>
      <c r="G45" s="277"/>
      <c r="H45" s="277"/>
      <c r="I45" s="278"/>
      <c r="J45" s="311"/>
      <c r="K45" s="312"/>
      <c r="L45" s="312"/>
      <c r="M45" s="312"/>
      <c r="N45" s="312"/>
      <c r="O45" s="313"/>
      <c r="P45" s="311"/>
      <c r="Q45" s="312"/>
      <c r="R45" s="312"/>
      <c r="S45" s="312"/>
      <c r="T45" s="312"/>
      <c r="U45" s="313"/>
      <c r="V45" s="302"/>
      <c r="W45" s="303"/>
      <c r="X45" s="303"/>
      <c r="Y45" s="303"/>
      <c r="Z45" s="303"/>
      <c r="AA45" s="304"/>
      <c r="AB45" s="287"/>
      <c r="AC45" s="288"/>
      <c r="AD45" s="288"/>
      <c r="AE45" s="288"/>
      <c r="AF45" s="288"/>
      <c r="AG45" s="289"/>
      <c r="AH45" s="293"/>
      <c r="AI45" s="294"/>
      <c r="AJ45" s="294"/>
      <c r="AK45" s="294"/>
      <c r="AL45" s="294"/>
      <c r="AM45" s="29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70" t="s">
        <v>111</v>
      </c>
      <c r="K46" s="271"/>
      <c r="L46" s="271"/>
      <c r="M46" s="271"/>
      <c r="N46" s="271"/>
      <c r="O46" s="272"/>
      <c r="P46" s="270" t="s">
        <v>110</v>
      </c>
      <c r="Q46" s="271"/>
      <c r="R46" s="271"/>
      <c r="S46" s="271"/>
      <c r="T46" s="271"/>
      <c r="U46" s="272"/>
      <c r="V46" s="270" t="s">
        <v>109</v>
      </c>
      <c r="W46" s="271"/>
      <c r="X46" s="271"/>
      <c r="Y46" s="271"/>
      <c r="Z46" s="271"/>
      <c r="AA46" s="272"/>
      <c r="AB46" s="270" t="s">
        <v>108</v>
      </c>
      <c r="AC46" s="286"/>
      <c r="AD46" s="271"/>
      <c r="AE46" s="271"/>
      <c r="AF46" s="271"/>
      <c r="AG46" s="272"/>
      <c r="AH46" s="270" t="s">
        <v>107</v>
      </c>
      <c r="AI46" s="271"/>
      <c r="AJ46" s="271"/>
      <c r="AK46" s="271"/>
      <c r="AL46" s="271"/>
      <c r="AM46" s="272"/>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73"/>
      <c r="K47" s="274"/>
      <c r="L47" s="274"/>
      <c r="M47" s="274"/>
      <c r="N47" s="274"/>
      <c r="O47" s="275"/>
      <c r="P47" s="273"/>
      <c r="Q47" s="274"/>
      <c r="R47" s="274"/>
      <c r="S47" s="274"/>
      <c r="T47" s="274"/>
      <c r="U47" s="275"/>
      <c r="V47" s="273"/>
      <c r="W47" s="274"/>
      <c r="X47" s="274"/>
      <c r="Y47" s="274"/>
      <c r="Z47" s="274"/>
      <c r="AA47" s="275"/>
      <c r="AB47" s="273"/>
      <c r="AC47" s="274"/>
      <c r="AD47" s="274"/>
      <c r="AE47" s="274"/>
      <c r="AF47" s="274"/>
      <c r="AG47" s="275"/>
      <c r="AH47" s="273"/>
      <c r="AI47" s="274"/>
      <c r="AJ47" s="274"/>
      <c r="AK47" s="274"/>
      <c r="AL47" s="274"/>
      <c r="AM47" s="2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73"/>
      <c r="K48" s="274"/>
      <c r="L48" s="274"/>
      <c r="M48" s="274"/>
      <c r="N48" s="274"/>
      <c r="O48" s="275"/>
      <c r="P48" s="273"/>
      <c r="Q48" s="274"/>
      <c r="R48" s="274"/>
      <c r="S48" s="274"/>
      <c r="T48" s="274"/>
      <c r="U48" s="275"/>
      <c r="V48" s="273"/>
      <c r="W48" s="274"/>
      <c r="X48" s="274"/>
      <c r="Y48" s="274"/>
      <c r="Z48" s="274"/>
      <c r="AA48" s="275"/>
      <c r="AB48" s="273"/>
      <c r="AC48" s="274"/>
      <c r="AD48" s="274"/>
      <c r="AE48" s="274"/>
      <c r="AF48" s="274"/>
      <c r="AG48" s="275"/>
      <c r="AH48" s="273"/>
      <c r="AI48" s="274"/>
      <c r="AJ48" s="274"/>
      <c r="AK48" s="274"/>
      <c r="AL48" s="274"/>
      <c r="AM48" s="2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73"/>
      <c r="K49" s="274"/>
      <c r="L49" s="274"/>
      <c r="M49" s="274"/>
      <c r="N49" s="274"/>
      <c r="O49" s="275"/>
      <c r="P49" s="273"/>
      <c r="Q49" s="274"/>
      <c r="R49" s="274"/>
      <c r="S49" s="274"/>
      <c r="T49" s="274"/>
      <c r="U49" s="275"/>
      <c r="V49" s="273"/>
      <c r="W49" s="274"/>
      <c r="X49" s="274"/>
      <c r="Y49" s="274"/>
      <c r="Z49" s="274"/>
      <c r="AA49" s="275"/>
      <c r="AB49" s="273"/>
      <c r="AC49" s="274"/>
      <c r="AD49" s="274"/>
      <c r="AE49" s="274"/>
      <c r="AF49" s="274"/>
      <c r="AG49" s="275"/>
      <c r="AH49" s="273"/>
      <c r="AI49" s="274"/>
      <c r="AJ49" s="274"/>
      <c r="AK49" s="274"/>
      <c r="AL49" s="274"/>
      <c r="AM49" s="2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73"/>
      <c r="K50" s="274"/>
      <c r="L50" s="274"/>
      <c r="M50" s="274"/>
      <c r="N50" s="274"/>
      <c r="O50" s="275"/>
      <c r="P50" s="273"/>
      <c r="Q50" s="274"/>
      <c r="R50" s="274"/>
      <c r="S50" s="274"/>
      <c r="T50" s="274"/>
      <c r="U50" s="275"/>
      <c r="V50" s="273"/>
      <c r="W50" s="274"/>
      <c r="X50" s="274"/>
      <c r="Y50" s="274"/>
      <c r="Z50" s="274"/>
      <c r="AA50" s="275"/>
      <c r="AB50" s="273"/>
      <c r="AC50" s="274"/>
      <c r="AD50" s="274"/>
      <c r="AE50" s="274"/>
      <c r="AF50" s="274"/>
      <c r="AG50" s="275"/>
      <c r="AH50" s="273"/>
      <c r="AI50" s="274"/>
      <c r="AJ50" s="274"/>
      <c r="AK50" s="274"/>
      <c r="AL50" s="274"/>
      <c r="AM50" s="2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76"/>
      <c r="K51" s="277"/>
      <c r="L51" s="277"/>
      <c r="M51" s="277"/>
      <c r="N51" s="277"/>
      <c r="O51" s="278"/>
      <c r="P51" s="276"/>
      <c r="Q51" s="277"/>
      <c r="R51" s="277"/>
      <c r="S51" s="277"/>
      <c r="T51" s="277"/>
      <c r="U51" s="278"/>
      <c r="V51" s="276"/>
      <c r="W51" s="277"/>
      <c r="X51" s="277"/>
      <c r="Y51" s="277"/>
      <c r="Z51" s="277"/>
      <c r="AA51" s="278"/>
      <c r="AB51" s="276"/>
      <c r="AC51" s="277"/>
      <c r="AD51" s="277"/>
      <c r="AE51" s="277"/>
      <c r="AF51" s="277"/>
      <c r="AG51" s="278"/>
      <c r="AH51" s="276"/>
      <c r="AI51" s="277"/>
      <c r="AJ51" s="277"/>
      <c r="AK51" s="277"/>
      <c r="AL51" s="277"/>
      <c r="AM51" s="278"/>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43" t="s">
        <v>157</v>
      </c>
      <c r="C2" s="344"/>
      <c r="D2" s="344"/>
      <c r="E2" s="344"/>
      <c r="F2" s="344"/>
      <c r="G2" s="344"/>
      <c r="H2" s="344"/>
      <c r="I2" s="344"/>
      <c r="J2" s="285" t="s">
        <v>2</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44"/>
      <c r="C3" s="344"/>
      <c r="D3" s="344"/>
      <c r="E3" s="344"/>
      <c r="F3" s="344"/>
      <c r="G3" s="344"/>
      <c r="H3" s="344"/>
      <c r="I3" s="344"/>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44"/>
      <c r="C4" s="344"/>
      <c r="D4" s="344"/>
      <c r="E4" s="344"/>
      <c r="F4" s="344"/>
      <c r="G4" s="344"/>
      <c r="H4" s="344"/>
      <c r="I4" s="344"/>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32" t="s">
        <v>4</v>
      </c>
      <c r="C6" s="232"/>
      <c r="D6" s="233"/>
      <c r="E6" s="327" t="s">
        <v>115</v>
      </c>
      <c r="F6" s="328"/>
      <c r="G6" s="328"/>
      <c r="H6" s="328"/>
      <c r="I6" s="345"/>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34" t="s">
        <v>78</v>
      </c>
      <c r="AP6" s="335"/>
      <c r="AQ6" s="335"/>
      <c r="AR6" s="335"/>
      <c r="AS6" s="335"/>
      <c r="AT6" s="336"/>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32"/>
      <c r="C7" s="232"/>
      <c r="D7" s="233"/>
      <c r="E7" s="331"/>
      <c r="F7" s="330"/>
      <c r="G7" s="330"/>
      <c r="H7" s="330"/>
      <c r="I7" s="346"/>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37"/>
      <c r="AP7" s="338"/>
      <c r="AQ7" s="338"/>
      <c r="AR7" s="338"/>
      <c r="AS7" s="338"/>
      <c r="AT7" s="339"/>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32"/>
      <c r="C8" s="232"/>
      <c r="D8" s="233"/>
      <c r="E8" s="331"/>
      <c r="F8" s="330"/>
      <c r="G8" s="330"/>
      <c r="H8" s="330"/>
      <c r="I8" s="346"/>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37"/>
      <c r="AP8" s="338"/>
      <c r="AQ8" s="338"/>
      <c r="AR8" s="338"/>
      <c r="AS8" s="338"/>
      <c r="AT8" s="339"/>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32"/>
      <c r="C9" s="232"/>
      <c r="D9" s="233"/>
      <c r="E9" s="331"/>
      <c r="F9" s="330"/>
      <c r="G9" s="330"/>
      <c r="H9" s="330"/>
      <c r="I9" s="346"/>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37"/>
      <c r="AP9" s="338"/>
      <c r="AQ9" s="338"/>
      <c r="AR9" s="338"/>
      <c r="AS9" s="338"/>
      <c r="AT9" s="339"/>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32"/>
      <c r="C10" s="232"/>
      <c r="D10" s="233"/>
      <c r="E10" s="331"/>
      <c r="F10" s="330"/>
      <c r="G10" s="330"/>
      <c r="H10" s="330"/>
      <c r="I10" s="346"/>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37"/>
      <c r="AP10" s="338"/>
      <c r="AQ10" s="338"/>
      <c r="AR10" s="338"/>
      <c r="AS10" s="338"/>
      <c r="AT10" s="339"/>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32"/>
      <c r="C11" s="232"/>
      <c r="D11" s="233"/>
      <c r="E11" s="331"/>
      <c r="F11" s="330"/>
      <c r="G11" s="330"/>
      <c r="H11" s="330"/>
      <c r="I11" s="346"/>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37"/>
      <c r="AP11" s="338"/>
      <c r="AQ11" s="338"/>
      <c r="AR11" s="338"/>
      <c r="AS11" s="338"/>
      <c r="AT11" s="339"/>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32"/>
      <c r="C12" s="232"/>
      <c r="D12" s="233"/>
      <c r="E12" s="331"/>
      <c r="F12" s="330"/>
      <c r="G12" s="330"/>
      <c r="H12" s="330"/>
      <c r="I12" s="346"/>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37"/>
      <c r="AP12" s="338"/>
      <c r="AQ12" s="338"/>
      <c r="AR12" s="338"/>
      <c r="AS12" s="338"/>
      <c r="AT12" s="339"/>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32"/>
      <c r="C13" s="232"/>
      <c r="D13" s="233"/>
      <c r="E13" s="331"/>
      <c r="F13" s="330"/>
      <c r="G13" s="330"/>
      <c r="H13" s="330"/>
      <c r="I13" s="346"/>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37"/>
      <c r="AP13" s="338"/>
      <c r="AQ13" s="338"/>
      <c r="AR13" s="338"/>
      <c r="AS13" s="338"/>
      <c r="AT13" s="339"/>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32"/>
      <c r="C14" s="232"/>
      <c r="D14" s="233"/>
      <c r="E14" s="331"/>
      <c r="F14" s="330"/>
      <c r="G14" s="330"/>
      <c r="H14" s="330"/>
      <c r="I14" s="346"/>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37"/>
      <c r="AP14" s="338"/>
      <c r="AQ14" s="338"/>
      <c r="AR14" s="338"/>
      <c r="AS14" s="338"/>
      <c r="AT14" s="339"/>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32"/>
      <c r="C15" s="232"/>
      <c r="D15" s="233"/>
      <c r="E15" s="332"/>
      <c r="F15" s="333"/>
      <c r="G15" s="333"/>
      <c r="H15" s="333"/>
      <c r="I15" s="347"/>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40"/>
      <c r="AP15" s="341"/>
      <c r="AQ15" s="341"/>
      <c r="AR15" s="341"/>
      <c r="AS15" s="341"/>
      <c r="AT15" s="342"/>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32"/>
      <c r="C16" s="232"/>
      <c r="D16" s="233"/>
      <c r="E16" s="327" t="s">
        <v>114</v>
      </c>
      <c r="F16" s="328"/>
      <c r="G16" s="328"/>
      <c r="H16" s="328"/>
      <c r="I16" s="328"/>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18" t="s">
        <v>79</v>
      </c>
      <c r="AP16" s="319"/>
      <c r="AQ16" s="319"/>
      <c r="AR16" s="319"/>
      <c r="AS16" s="319"/>
      <c r="AT16" s="320"/>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32"/>
      <c r="C17" s="232"/>
      <c r="D17" s="233"/>
      <c r="E17" s="329"/>
      <c r="F17" s="330"/>
      <c r="G17" s="330"/>
      <c r="H17" s="330"/>
      <c r="I17" s="330"/>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21"/>
      <c r="AP17" s="322"/>
      <c r="AQ17" s="322"/>
      <c r="AR17" s="322"/>
      <c r="AS17" s="322"/>
      <c r="AT17" s="323"/>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32"/>
      <c r="C18" s="232"/>
      <c r="D18" s="233"/>
      <c r="E18" s="331"/>
      <c r="F18" s="330"/>
      <c r="G18" s="330"/>
      <c r="H18" s="330"/>
      <c r="I18" s="330"/>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21"/>
      <c r="AP18" s="322"/>
      <c r="AQ18" s="322"/>
      <c r="AR18" s="322"/>
      <c r="AS18" s="322"/>
      <c r="AT18" s="323"/>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32"/>
      <c r="C19" s="232"/>
      <c r="D19" s="233"/>
      <c r="E19" s="331"/>
      <c r="F19" s="330"/>
      <c r="G19" s="330"/>
      <c r="H19" s="330"/>
      <c r="I19" s="330"/>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21"/>
      <c r="AP19" s="322"/>
      <c r="AQ19" s="322"/>
      <c r="AR19" s="322"/>
      <c r="AS19" s="322"/>
      <c r="AT19" s="323"/>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32"/>
      <c r="C20" s="232"/>
      <c r="D20" s="233"/>
      <c r="E20" s="331"/>
      <c r="F20" s="330"/>
      <c r="G20" s="330"/>
      <c r="H20" s="330"/>
      <c r="I20" s="330"/>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21"/>
      <c r="AP20" s="322"/>
      <c r="AQ20" s="322"/>
      <c r="AR20" s="322"/>
      <c r="AS20" s="322"/>
      <c r="AT20" s="323"/>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32"/>
      <c r="C21" s="232"/>
      <c r="D21" s="233"/>
      <c r="E21" s="331"/>
      <c r="F21" s="330"/>
      <c r="G21" s="330"/>
      <c r="H21" s="330"/>
      <c r="I21" s="330"/>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21"/>
      <c r="AP21" s="322"/>
      <c r="AQ21" s="322"/>
      <c r="AR21" s="322"/>
      <c r="AS21" s="322"/>
      <c r="AT21" s="323"/>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32"/>
      <c r="C22" s="232"/>
      <c r="D22" s="233"/>
      <c r="E22" s="331"/>
      <c r="F22" s="330"/>
      <c r="G22" s="330"/>
      <c r="H22" s="330"/>
      <c r="I22" s="330"/>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21"/>
      <c r="AP22" s="322"/>
      <c r="AQ22" s="322"/>
      <c r="AR22" s="322"/>
      <c r="AS22" s="322"/>
      <c r="AT22" s="323"/>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32"/>
      <c r="C23" s="232"/>
      <c r="D23" s="233"/>
      <c r="E23" s="331"/>
      <c r="F23" s="330"/>
      <c r="G23" s="330"/>
      <c r="H23" s="330"/>
      <c r="I23" s="330"/>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21"/>
      <c r="AP23" s="322"/>
      <c r="AQ23" s="322"/>
      <c r="AR23" s="322"/>
      <c r="AS23" s="322"/>
      <c r="AT23" s="323"/>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32"/>
      <c r="C24" s="232"/>
      <c r="D24" s="233"/>
      <c r="E24" s="331"/>
      <c r="F24" s="330"/>
      <c r="G24" s="330"/>
      <c r="H24" s="330"/>
      <c r="I24" s="330"/>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21"/>
      <c r="AP24" s="322"/>
      <c r="AQ24" s="322"/>
      <c r="AR24" s="322"/>
      <c r="AS24" s="322"/>
      <c r="AT24" s="323"/>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32"/>
      <c r="C25" s="232"/>
      <c r="D25" s="233"/>
      <c r="E25" s="332"/>
      <c r="F25" s="333"/>
      <c r="G25" s="333"/>
      <c r="H25" s="333"/>
      <c r="I25" s="333"/>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24"/>
      <c r="AP25" s="325"/>
      <c r="AQ25" s="325"/>
      <c r="AR25" s="325"/>
      <c r="AS25" s="325"/>
      <c r="AT25" s="326"/>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32"/>
      <c r="C26" s="232"/>
      <c r="D26" s="233"/>
      <c r="E26" s="327" t="s">
        <v>116</v>
      </c>
      <c r="F26" s="328"/>
      <c r="G26" s="328"/>
      <c r="H26" s="328"/>
      <c r="I26" s="345"/>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57" t="s">
        <v>80</v>
      </c>
      <c r="AP26" s="358"/>
      <c r="AQ26" s="358"/>
      <c r="AR26" s="358"/>
      <c r="AS26" s="358"/>
      <c r="AT26" s="359"/>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32"/>
      <c r="C27" s="232"/>
      <c r="D27" s="233"/>
      <c r="E27" s="329"/>
      <c r="F27" s="330"/>
      <c r="G27" s="330"/>
      <c r="H27" s="330"/>
      <c r="I27" s="346"/>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60"/>
      <c r="AP27" s="361"/>
      <c r="AQ27" s="361"/>
      <c r="AR27" s="361"/>
      <c r="AS27" s="361"/>
      <c r="AT27" s="362"/>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32"/>
      <c r="C28" s="232"/>
      <c r="D28" s="233"/>
      <c r="E28" s="331"/>
      <c r="F28" s="330"/>
      <c r="G28" s="330"/>
      <c r="H28" s="330"/>
      <c r="I28" s="346"/>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60"/>
      <c r="AP28" s="361"/>
      <c r="AQ28" s="361"/>
      <c r="AR28" s="361"/>
      <c r="AS28" s="361"/>
      <c r="AT28" s="362"/>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32"/>
      <c r="C29" s="232"/>
      <c r="D29" s="233"/>
      <c r="E29" s="331"/>
      <c r="F29" s="330"/>
      <c r="G29" s="330"/>
      <c r="H29" s="330"/>
      <c r="I29" s="346"/>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60"/>
      <c r="AP29" s="361"/>
      <c r="AQ29" s="361"/>
      <c r="AR29" s="361"/>
      <c r="AS29" s="361"/>
      <c r="AT29" s="362"/>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32"/>
      <c r="C30" s="232"/>
      <c r="D30" s="233"/>
      <c r="E30" s="331"/>
      <c r="F30" s="330"/>
      <c r="G30" s="330"/>
      <c r="H30" s="330"/>
      <c r="I30" s="346"/>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60"/>
      <c r="AP30" s="361"/>
      <c r="AQ30" s="361"/>
      <c r="AR30" s="361"/>
      <c r="AS30" s="361"/>
      <c r="AT30" s="362"/>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32"/>
      <c r="C31" s="232"/>
      <c r="D31" s="233"/>
      <c r="E31" s="331"/>
      <c r="F31" s="330"/>
      <c r="G31" s="330"/>
      <c r="H31" s="330"/>
      <c r="I31" s="346"/>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60"/>
      <c r="AP31" s="361"/>
      <c r="AQ31" s="361"/>
      <c r="AR31" s="361"/>
      <c r="AS31" s="361"/>
      <c r="AT31" s="362"/>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32"/>
      <c r="C32" s="232"/>
      <c r="D32" s="233"/>
      <c r="E32" s="331"/>
      <c r="F32" s="330"/>
      <c r="G32" s="330"/>
      <c r="H32" s="330"/>
      <c r="I32" s="346"/>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60"/>
      <c r="AP32" s="361"/>
      <c r="AQ32" s="361"/>
      <c r="AR32" s="361"/>
      <c r="AS32" s="361"/>
      <c r="AT32" s="362"/>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32"/>
      <c r="C33" s="232"/>
      <c r="D33" s="233"/>
      <c r="E33" s="331"/>
      <c r="F33" s="330"/>
      <c r="G33" s="330"/>
      <c r="H33" s="330"/>
      <c r="I33" s="346"/>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60"/>
      <c r="AP33" s="361"/>
      <c r="AQ33" s="361"/>
      <c r="AR33" s="361"/>
      <c r="AS33" s="361"/>
      <c r="AT33" s="362"/>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32"/>
      <c r="C34" s="232"/>
      <c r="D34" s="233"/>
      <c r="E34" s="331"/>
      <c r="F34" s="330"/>
      <c r="G34" s="330"/>
      <c r="H34" s="330"/>
      <c r="I34" s="346"/>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60"/>
      <c r="AP34" s="361"/>
      <c r="AQ34" s="361"/>
      <c r="AR34" s="361"/>
      <c r="AS34" s="361"/>
      <c r="AT34" s="362"/>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32"/>
      <c r="C35" s="232"/>
      <c r="D35" s="233"/>
      <c r="E35" s="332"/>
      <c r="F35" s="333"/>
      <c r="G35" s="333"/>
      <c r="H35" s="333"/>
      <c r="I35" s="347"/>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63"/>
      <c r="AP35" s="364"/>
      <c r="AQ35" s="364"/>
      <c r="AR35" s="364"/>
      <c r="AS35" s="364"/>
      <c r="AT35" s="36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32"/>
      <c r="C36" s="232"/>
      <c r="D36" s="233"/>
      <c r="E36" s="327" t="s">
        <v>113</v>
      </c>
      <c r="F36" s="328"/>
      <c r="G36" s="328"/>
      <c r="H36" s="328"/>
      <c r="I36" s="328"/>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48" t="s">
        <v>81</v>
      </c>
      <c r="AP36" s="349"/>
      <c r="AQ36" s="349"/>
      <c r="AR36" s="349"/>
      <c r="AS36" s="349"/>
      <c r="AT36" s="350"/>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32"/>
      <c r="C37" s="232"/>
      <c r="D37" s="233"/>
      <c r="E37" s="329"/>
      <c r="F37" s="330"/>
      <c r="G37" s="330"/>
      <c r="H37" s="330"/>
      <c r="I37" s="330"/>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final'!$AD$12="Baja",'Mapa final'!$AF$12="Menor"),CONCATENATE("R2C",'Mapa final'!$S$12),"")</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
      </c>
      <c r="W37" s="60" t="str">
        <f>IF(AND('Mapa final'!$AD$12="Baja",'Mapa final'!$AF$12="Moderado"),CONCATENATE("R2C",'Mapa final'!$S$12),"")</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51"/>
      <c r="AP37" s="352"/>
      <c r="AQ37" s="352"/>
      <c r="AR37" s="352"/>
      <c r="AS37" s="352"/>
      <c r="AT37" s="353"/>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32"/>
      <c r="C38" s="232"/>
      <c r="D38" s="233"/>
      <c r="E38" s="331"/>
      <c r="F38" s="330"/>
      <c r="G38" s="330"/>
      <c r="H38" s="330"/>
      <c r="I38" s="330"/>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51"/>
      <c r="AP38" s="352"/>
      <c r="AQ38" s="352"/>
      <c r="AR38" s="352"/>
      <c r="AS38" s="352"/>
      <c r="AT38" s="353"/>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32"/>
      <c r="C39" s="232"/>
      <c r="D39" s="233"/>
      <c r="E39" s="331"/>
      <c r="F39" s="330"/>
      <c r="G39" s="330"/>
      <c r="H39" s="330"/>
      <c r="I39" s="330"/>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51"/>
      <c r="AP39" s="352"/>
      <c r="AQ39" s="352"/>
      <c r="AR39" s="352"/>
      <c r="AS39" s="352"/>
      <c r="AT39" s="353"/>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32"/>
      <c r="C40" s="232"/>
      <c r="D40" s="233"/>
      <c r="E40" s="331"/>
      <c r="F40" s="330"/>
      <c r="G40" s="330"/>
      <c r="H40" s="330"/>
      <c r="I40" s="330"/>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51"/>
      <c r="AP40" s="352"/>
      <c r="AQ40" s="352"/>
      <c r="AR40" s="352"/>
      <c r="AS40" s="352"/>
      <c r="AT40" s="353"/>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32"/>
      <c r="C41" s="232"/>
      <c r="D41" s="233"/>
      <c r="E41" s="331"/>
      <c r="F41" s="330"/>
      <c r="G41" s="330"/>
      <c r="H41" s="330"/>
      <c r="I41" s="330"/>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51"/>
      <c r="AP41" s="352"/>
      <c r="AQ41" s="352"/>
      <c r="AR41" s="352"/>
      <c r="AS41" s="352"/>
      <c r="AT41" s="353"/>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32"/>
      <c r="C42" s="232"/>
      <c r="D42" s="233"/>
      <c r="E42" s="331"/>
      <c r="F42" s="330"/>
      <c r="G42" s="330"/>
      <c r="H42" s="330"/>
      <c r="I42" s="330"/>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51"/>
      <c r="AP42" s="352"/>
      <c r="AQ42" s="352"/>
      <c r="AR42" s="352"/>
      <c r="AS42" s="352"/>
      <c r="AT42" s="353"/>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32"/>
      <c r="C43" s="232"/>
      <c r="D43" s="233"/>
      <c r="E43" s="331"/>
      <c r="F43" s="330"/>
      <c r="G43" s="330"/>
      <c r="H43" s="330"/>
      <c r="I43" s="330"/>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51"/>
      <c r="AP43" s="352"/>
      <c r="AQ43" s="352"/>
      <c r="AR43" s="352"/>
      <c r="AS43" s="352"/>
      <c r="AT43" s="353"/>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32"/>
      <c r="C44" s="232"/>
      <c r="D44" s="233"/>
      <c r="E44" s="331"/>
      <c r="F44" s="330"/>
      <c r="G44" s="330"/>
      <c r="H44" s="330"/>
      <c r="I44" s="330"/>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51"/>
      <c r="AP44" s="352"/>
      <c r="AQ44" s="352"/>
      <c r="AR44" s="352"/>
      <c r="AS44" s="352"/>
      <c r="AT44" s="353"/>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32"/>
      <c r="C45" s="232"/>
      <c r="D45" s="233"/>
      <c r="E45" s="332"/>
      <c r="F45" s="333"/>
      <c r="G45" s="333"/>
      <c r="H45" s="333"/>
      <c r="I45" s="333"/>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54"/>
      <c r="AP45" s="355"/>
      <c r="AQ45" s="355"/>
      <c r="AR45" s="355"/>
      <c r="AS45" s="355"/>
      <c r="AT45" s="356"/>
    </row>
    <row r="46" spans="1:80" ht="46.5" customHeight="1" x14ac:dyDescent="0.35">
      <c r="A46" s="75"/>
      <c r="B46" s="232"/>
      <c r="C46" s="232"/>
      <c r="D46" s="233"/>
      <c r="E46" s="327" t="s">
        <v>112</v>
      </c>
      <c r="F46" s="328"/>
      <c r="G46" s="328"/>
      <c r="H46" s="328"/>
      <c r="I46" s="345"/>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32"/>
      <c r="C47" s="232"/>
      <c r="D47" s="233"/>
      <c r="E47" s="329"/>
      <c r="F47" s="330"/>
      <c r="G47" s="330"/>
      <c r="H47" s="330"/>
      <c r="I47" s="346"/>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final'!$AD$12="Muy Baja",'Mapa final'!$AF$12="Moderado"),CONCATENATE("R2C",'Mapa final'!$S$12),"")</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R2C1</v>
      </c>
      <c r="AI47" s="48" t="str">
        <f>IF(AND('Mapa final'!$AD$12="Muy Baja",'Mapa final'!$AF$12="Catastrófico"),CONCATENATE("R2C",'Mapa final'!$S$12),"")</f>
        <v>R2C1</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32"/>
      <c r="C48" s="232"/>
      <c r="D48" s="233"/>
      <c r="E48" s="329"/>
      <c r="F48" s="330"/>
      <c r="G48" s="330"/>
      <c r="H48" s="330"/>
      <c r="I48" s="346"/>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32"/>
      <c r="C49" s="232"/>
      <c r="D49" s="233"/>
      <c r="E49" s="331"/>
      <c r="F49" s="330"/>
      <c r="G49" s="330"/>
      <c r="H49" s="330"/>
      <c r="I49" s="346"/>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32"/>
      <c r="C50" s="232"/>
      <c r="D50" s="233"/>
      <c r="E50" s="331"/>
      <c r="F50" s="330"/>
      <c r="G50" s="330"/>
      <c r="H50" s="330"/>
      <c r="I50" s="346"/>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32"/>
      <c r="C51" s="232"/>
      <c r="D51" s="233"/>
      <c r="E51" s="331"/>
      <c r="F51" s="330"/>
      <c r="G51" s="330"/>
      <c r="H51" s="330"/>
      <c r="I51" s="346"/>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32"/>
      <c r="C52" s="232"/>
      <c r="D52" s="233"/>
      <c r="E52" s="331"/>
      <c r="F52" s="330"/>
      <c r="G52" s="330"/>
      <c r="H52" s="330"/>
      <c r="I52" s="346"/>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32"/>
      <c r="C53" s="232"/>
      <c r="D53" s="233"/>
      <c r="E53" s="331"/>
      <c r="F53" s="330"/>
      <c r="G53" s="330"/>
      <c r="H53" s="330"/>
      <c r="I53" s="346"/>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32"/>
      <c r="C54" s="232"/>
      <c r="D54" s="233"/>
      <c r="E54" s="331"/>
      <c r="F54" s="330"/>
      <c r="G54" s="330"/>
      <c r="H54" s="330"/>
      <c r="I54" s="346"/>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32"/>
      <c r="C55" s="232"/>
      <c r="D55" s="233"/>
      <c r="E55" s="332"/>
      <c r="F55" s="333"/>
      <c r="G55" s="333"/>
      <c r="H55" s="333"/>
      <c r="I55" s="347"/>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27" t="s">
        <v>111</v>
      </c>
      <c r="K56" s="328"/>
      <c r="L56" s="328"/>
      <c r="M56" s="328"/>
      <c r="N56" s="328"/>
      <c r="O56" s="345"/>
      <c r="P56" s="327" t="s">
        <v>110</v>
      </c>
      <c r="Q56" s="328"/>
      <c r="R56" s="328"/>
      <c r="S56" s="328"/>
      <c r="T56" s="328"/>
      <c r="U56" s="345"/>
      <c r="V56" s="327" t="s">
        <v>109</v>
      </c>
      <c r="W56" s="328"/>
      <c r="X56" s="328"/>
      <c r="Y56" s="328"/>
      <c r="Z56" s="328"/>
      <c r="AA56" s="345"/>
      <c r="AB56" s="327" t="s">
        <v>108</v>
      </c>
      <c r="AC56" s="366"/>
      <c r="AD56" s="328"/>
      <c r="AE56" s="328"/>
      <c r="AF56" s="328"/>
      <c r="AG56" s="345"/>
      <c r="AH56" s="327" t="s">
        <v>107</v>
      </c>
      <c r="AI56" s="328"/>
      <c r="AJ56" s="328"/>
      <c r="AK56" s="328"/>
      <c r="AL56" s="328"/>
      <c r="AM56" s="34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31"/>
      <c r="K57" s="330"/>
      <c r="L57" s="330"/>
      <c r="M57" s="330"/>
      <c r="N57" s="330"/>
      <c r="O57" s="346"/>
      <c r="P57" s="331"/>
      <c r="Q57" s="330"/>
      <c r="R57" s="330"/>
      <c r="S57" s="330"/>
      <c r="T57" s="330"/>
      <c r="U57" s="346"/>
      <c r="V57" s="331"/>
      <c r="W57" s="330"/>
      <c r="X57" s="330"/>
      <c r="Y57" s="330"/>
      <c r="Z57" s="330"/>
      <c r="AA57" s="346"/>
      <c r="AB57" s="331"/>
      <c r="AC57" s="330"/>
      <c r="AD57" s="330"/>
      <c r="AE57" s="330"/>
      <c r="AF57" s="330"/>
      <c r="AG57" s="346"/>
      <c r="AH57" s="331"/>
      <c r="AI57" s="330"/>
      <c r="AJ57" s="330"/>
      <c r="AK57" s="330"/>
      <c r="AL57" s="330"/>
      <c r="AM57" s="346"/>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31"/>
      <c r="K58" s="330"/>
      <c r="L58" s="330"/>
      <c r="M58" s="330"/>
      <c r="N58" s="330"/>
      <c r="O58" s="346"/>
      <c r="P58" s="331"/>
      <c r="Q58" s="330"/>
      <c r="R58" s="330"/>
      <c r="S58" s="330"/>
      <c r="T58" s="330"/>
      <c r="U58" s="346"/>
      <c r="V58" s="331"/>
      <c r="W58" s="330"/>
      <c r="X58" s="330"/>
      <c r="Y58" s="330"/>
      <c r="Z58" s="330"/>
      <c r="AA58" s="346"/>
      <c r="AB58" s="331"/>
      <c r="AC58" s="330"/>
      <c r="AD58" s="330"/>
      <c r="AE58" s="330"/>
      <c r="AF58" s="330"/>
      <c r="AG58" s="346"/>
      <c r="AH58" s="331"/>
      <c r="AI58" s="330"/>
      <c r="AJ58" s="330"/>
      <c r="AK58" s="330"/>
      <c r="AL58" s="330"/>
      <c r="AM58" s="346"/>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31"/>
      <c r="K59" s="330"/>
      <c r="L59" s="330"/>
      <c r="M59" s="330"/>
      <c r="N59" s="330"/>
      <c r="O59" s="346"/>
      <c r="P59" s="331"/>
      <c r="Q59" s="330"/>
      <c r="R59" s="330"/>
      <c r="S59" s="330"/>
      <c r="T59" s="330"/>
      <c r="U59" s="346"/>
      <c r="V59" s="331"/>
      <c r="W59" s="330"/>
      <c r="X59" s="330"/>
      <c r="Y59" s="330"/>
      <c r="Z59" s="330"/>
      <c r="AA59" s="346"/>
      <c r="AB59" s="331"/>
      <c r="AC59" s="330"/>
      <c r="AD59" s="330"/>
      <c r="AE59" s="330"/>
      <c r="AF59" s="330"/>
      <c r="AG59" s="346"/>
      <c r="AH59" s="331"/>
      <c r="AI59" s="330"/>
      <c r="AJ59" s="330"/>
      <c r="AK59" s="330"/>
      <c r="AL59" s="330"/>
      <c r="AM59" s="346"/>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31"/>
      <c r="K60" s="330"/>
      <c r="L60" s="330"/>
      <c r="M60" s="330"/>
      <c r="N60" s="330"/>
      <c r="O60" s="346"/>
      <c r="P60" s="331"/>
      <c r="Q60" s="330"/>
      <c r="R60" s="330"/>
      <c r="S60" s="330"/>
      <c r="T60" s="330"/>
      <c r="U60" s="346"/>
      <c r="V60" s="331"/>
      <c r="W60" s="330"/>
      <c r="X60" s="330"/>
      <c r="Y60" s="330"/>
      <c r="Z60" s="330"/>
      <c r="AA60" s="346"/>
      <c r="AB60" s="331"/>
      <c r="AC60" s="330"/>
      <c r="AD60" s="330"/>
      <c r="AE60" s="330"/>
      <c r="AF60" s="330"/>
      <c r="AG60" s="346"/>
      <c r="AH60" s="331"/>
      <c r="AI60" s="330"/>
      <c r="AJ60" s="330"/>
      <c r="AK60" s="330"/>
      <c r="AL60" s="330"/>
      <c r="AM60" s="346"/>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32"/>
      <c r="K61" s="333"/>
      <c r="L61" s="333"/>
      <c r="M61" s="333"/>
      <c r="N61" s="333"/>
      <c r="O61" s="347"/>
      <c r="P61" s="332"/>
      <c r="Q61" s="333"/>
      <c r="R61" s="333"/>
      <c r="S61" s="333"/>
      <c r="T61" s="333"/>
      <c r="U61" s="347"/>
      <c r="V61" s="332"/>
      <c r="W61" s="333"/>
      <c r="X61" s="333"/>
      <c r="Y61" s="333"/>
      <c r="Z61" s="333"/>
      <c r="AA61" s="347"/>
      <c r="AB61" s="332"/>
      <c r="AC61" s="333"/>
      <c r="AD61" s="333"/>
      <c r="AE61" s="333"/>
      <c r="AF61" s="333"/>
      <c r="AG61" s="347"/>
      <c r="AH61" s="332"/>
      <c r="AI61" s="333"/>
      <c r="AJ61" s="333"/>
      <c r="AK61" s="333"/>
      <c r="AL61" s="333"/>
      <c r="AM61" s="347"/>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67" t="s">
        <v>54</v>
      </c>
      <c r="C1" s="367"/>
      <c r="D1" s="367"/>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68" t="s">
        <v>62</v>
      </c>
      <c r="C1" s="368"/>
      <c r="D1" s="368"/>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6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101.2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69" t="s">
        <v>77</v>
      </c>
      <c r="C1" s="370"/>
      <c r="D1" s="370"/>
      <c r="E1" s="370"/>
      <c r="F1" s="371"/>
    </row>
    <row r="2" spans="2:6" ht="16.5" thickBot="1" x14ac:dyDescent="0.3">
      <c r="B2" s="81"/>
      <c r="C2" s="81"/>
      <c r="D2" s="81"/>
      <c r="E2" s="81"/>
      <c r="F2" s="81"/>
    </row>
    <row r="3" spans="2:6" ht="16.5" thickBot="1" x14ac:dyDescent="0.25">
      <c r="B3" s="373" t="s">
        <v>63</v>
      </c>
      <c r="C3" s="374"/>
      <c r="D3" s="374"/>
      <c r="E3" s="93" t="s">
        <v>64</v>
      </c>
      <c r="F3" s="94" t="s">
        <v>65</v>
      </c>
    </row>
    <row r="4" spans="2:6" ht="31.5" x14ac:dyDescent="0.2">
      <c r="B4" s="375" t="s">
        <v>66</v>
      </c>
      <c r="C4" s="377" t="s">
        <v>13</v>
      </c>
      <c r="D4" s="82" t="s">
        <v>14</v>
      </c>
      <c r="E4" s="83" t="s">
        <v>67</v>
      </c>
      <c r="F4" s="84">
        <v>0.25</v>
      </c>
    </row>
    <row r="5" spans="2:6" ht="47.25" x14ac:dyDescent="0.2">
      <c r="B5" s="376"/>
      <c r="C5" s="378"/>
      <c r="D5" s="85" t="s">
        <v>15</v>
      </c>
      <c r="E5" s="86" t="s">
        <v>68</v>
      </c>
      <c r="F5" s="87">
        <v>0.15</v>
      </c>
    </row>
    <row r="6" spans="2:6" ht="47.25" x14ac:dyDescent="0.2">
      <c r="B6" s="376"/>
      <c r="C6" s="378"/>
      <c r="D6" s="85" t="s">
        <v>16</v>
      </c>
      <c r="E6" s="86" t="s">
        <v>69</v>
      </c>
      <c r="F6" s="87">
        <v>0.1</v>
      </c>
    </row>
    <row r="7" spans="2:6" ht="63" x14ac:dyDescent="0.2">
      <c r="B7" s="376"/>
      <c r="C7" s="378" t="s">
        <v>17</v>
      </c>
      <c r="D7" s="85" t="s">
        <v>10</v>
      </c>
      <c r="E7" s="86" t="s">
        <v>70</v>
      </c>
      <c r="F7" s="87">
        <v>0.25</v>
      </c>
    </row>
    <row r="8" spans="2:6" ht="31.5" x14ac:dyDescent="0.2">
      <c r="B8" s="376"/>
      <c r="C8" s="378"/>
      <c r="D8" s="85" t="s">
        <v>9</v>
      </c>
      <c r="E8" s="86" t="s">
        <v>71</v>
      </c>
      <c r="F8" s="87">
        <v>0.15</v>
      </c>
    </row>
    <row r="9" spans="2:6" ht="47.25" x14ac:dyDescent="0.2">
      <c r="B9" s="376" t="s">
        <v>159</v>
      </c>
      <c r="C9" s="378" t="s">
        <v>18</v>
      </c>
      <c r="D9" s="85" t="s">
        <v>19</v>
      </c>
      <c r="E9" s="86" t="s">
        <v>72</v>
      </c>
      <c r="F9" s="88" t="s">
        <v>73</v>
      </c>
    </row>
    <row r="10" spans="2:6" ht="63" x14ac:dyDescent="0.2">
      <c r="B10" s="376"/>
      <c r="C10" s="378"/>
      <c r="D10" s="85" t="s">
        <v>20</v>
      </c>
      <c r="E10" s="86" t="s">
        <v>74</v>
      </c>
      <c r="F10" s="88" t="s">
        <v>73</v>
      </c>
    </row>
    <row r="11" spans="2:6" ht="47.25" x14ac:dyDescent="0.2">
      <c r="B11" s="376"/>
      <c r="C11" s="378" t="s">
        <v>21</v>
      </c>
      <c r="D11" s="85" t="s">
        <v>22</v>
      </c>
      <c r="E11" s="86" t="s">
        <v>75</v>
      </c>
      <c r="F11" s="88" t="s">
        <v>73</v>
      </c>
    </row>
    <row r="12" spans="2:6" ht="47.25" x14ac:dyDescent="0.2">
      <c r="B12" s="376"/>
      <c r="C12" s="378"/>
      <c r="D12" s="85" t="s">
        <v>23</v>
      </c>
      <c r="E12" s="86" t="s">
        <v>76</v>
      </c>
      <c r="F12" s="88" t="s">
        <v>73</v>
      </c>
    </row>
    <row r="13" spans="2:6" ht="31.5" x14ac:dyDescent="0.2">
      <c r="B13" s="376"/>
      <c r="C13" s="378" t="s">
        <v>24</v>
      </c>
      <c r="D13" s="85" t="s">
        <v>118</v>
      </c>
      <c r="E13" s="86" t="s">
        <v>121</v>
      </c>
      <c r="F13" s="88" t="s">
        <v>73</v>
      </c>
    </row>
    <row r="14" spans="2:6" ht="32.25" thickBot="1" x14ac:dyDescent="0.25">
      <c r="B14" s="379"/>
      <c r="C14" s="380"/>
      <c r="D14" s="89" t="s">
        <v>119</v>
      </c>
      <c r="E14" s="90" t="s">
        <v>120</v>
      </c>
      <c r="F14" s="91" t="s">
        <v>73</v>
      </c>
    </row>
    <row r="15" spans="2:6" ht="49.5" customHeight="1" x14ac:dyDescent="0.2">
      <c r="B15" s="372" t="s">
        <v>156</v>
      </c>
      <c r="C15" s="372"/>
      <c r="D15" s="372"/>
      <c r="E15" s="372"/>
      <c r="F15" s="372"/>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Plan de Accion ETITC</cp:lastModifiedBy>
  <cp:lastPrinted>2020-05-13T01:12:22Z</cp:lastPrinted>
  <dcterms:created xsi:type="dcterms:W3CDTF">2020-03-24T23:12:47Z</dcterms:created>
  <dcterms:modified xsi:type="dcterms:W3CDTF">2024-12-04T16:44:55Z</dcterms:modified>
</cp:coreProperties>
</file>