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59" documentId="11_9D160541234317CC9FDB126FC5E4F6C4A28440DC" xr6:coauthVersionLast="47" xr6:coauthVersionMax="47" xr10:uidLastSave="{0C7B0BBF-8741-4CE8-ADA1-B318EAF2F697}"/>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1" l="1"/>
  <c r="Q12" i="1" s="1"/>
  <c r="P13" i="1"/>
  <c r="Q13" i="1" s="1"/>
  <c r="P14" i="1"/>
  <c r="Y15" i="1"/>
  <c r="Y14" i="1"/>
  <c r="V13" i="1"/>
  <c r="V15" i="1"/>
  <c r="V14" i="1"/>
  <c r="V12" i="1"/>
  <c r="AD12" i="1"/>
  <c r="AE12" i="1"/>
  <c r="AD13" i="1"/>
  <c r="AE13" i="1"/>
  <c r="AD14" i="1"/>
  <c r="AE14" i="1"/>
  <c r="Y12" i="1"/>
  <c r="Y13" i="1"/>
  <c r="L15" i="1"/>
  <c r="M15" i="1" s="1"/>
  <c r="L12" i="1"/>
  <c r="M12" i="1" s="1"/>
  <c r="L13" i="1"/>
  <c r="M13" i="1" s="1"/>
  <c r="L14" i="1"/>
  <c r="M14" i="1" s="1"/>
  <c r="R14" i="1" l="1"/>
  <c r="R13" i="1"/>
  <c r="Q14" i="1"/>
  <c r="R12" i="1"/>
  <c r="AG13" i="1"/>
  <c r="AF13" i="1" s="1"/>
  <c r="AH13" i="1" s="1"/>
  <c r="AG12" i="1"/>
  <c r="AF12" i="1" s="1"/>
  <c r="AH12" i="1" s="1"/>
  <c r="AG14" i="1"/>
  <c r="AF14" i="1" s="1"/>
  <c r="AH14" i="1" s="1"/>
  <c r="L20" i="1" l="1"/>
  <c r="Y11" i="1" l="1"/>
  <c r="AC15" i="1" l="1"/>
  <c r="AE15" i="1" l="1"/>
  <c r="AD15" i="1"/>
  <c r="O15" i="1"/>
  <c r="P15" i="1" s="1"/>
  <c r="Q15" i="1" l="1"/>
  <c r="R15" i="1"/>
  <c r="F221" i="13"/>
  <c r="F211" i="13"/>
  <c r="F212" i="13"/>
  <c r="F213" i="13"/>
  <c r="F214" i="13"/>
  <c r="F215" i="13"/>
  <c r="F216" i="13"/>
  <c r="F217" i="13"/>
  <c r="F218" i="13"/>
  <c r="F219" i="13"/>
  <c r="F220" i="13"/>
  <c r="F210" i="13"/>
  <c r="B221" i="13" a="1"/>
  <c r="AG15" i="1" l="1"/>
  <c r="AF15" i="1" s="1"/>
  <c r="AH15" i="1" s="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L11" i="1" l="1"/>
  <c r="V11" i="1"/>
  <c r="M11" i="1" l="1"/>
  <c r="AC11" i="1" s="1"/>
  <c r="AD11" i="1" l="1"/>
  <c r="AE11"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1" i="1" l="1"/>
  <c r="P11"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1" i="1"/>
  <c r="R38" i="18"/>
  <c r="AJ38" i="18"/>
  <c r="L38" i="18"/>
  <c r="AD6" i="18"/>
  <c r="R6" i="18"/>
  <c r="AJ30" i="18"/>
  <c r="R30" i="18"/>
  <c r="AD22" i="18"/>
  <c r="AJ14" i="18"/>
  <c r="AJ22" i="18"/>
  <c r="AD14" i="18"/>
  <c r="X38" i="18"/>
  <c r="X14" i="18"/>
  <c r="R22" i="18"/>
  <c r="X22" i="18"/>
  <c r="Q11"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1" i="1" l="1"/>
  <c r="AF11" i="1" s="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1"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<sst xmlns="http://schemas.openxmlformats.org/spreadsheetml/2006/main" count="476" uniqueCount="298">
  <si>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</si>
  <si>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</si>
  <si>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</si>
  <si>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</si>
  <si>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</si>
  <si>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</si>
  <si>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</si>
  <si>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</si>
  <si>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</si>
  <si>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</si>
  <si>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</si>
  <si>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</si>
  <si>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</si>
  <si>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</si>
  <si>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</si>
  <si>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</si>
  <si>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</si>
  <si>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</si>
  <si>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</si>
  <si>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</si>
  <si>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</si>
  <si>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</si>
  <si>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</si>
  <si>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</si>
  <si>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</si>
  <si>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</si>
  <si>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</si>
  <si>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</si>
  <si>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</si>
  <si>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</si>
  <si>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</si>
  <si>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</si>
  <si>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</si>
  <si>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</si>
  <si>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</si>
  <si>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</si>
  <si>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</si>
  <si>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</si>
  <si>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</si>
  <si>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</si>
  <si>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</si>
  <si>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</si>
  <si>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</si>
  <si>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</si>
  <si>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</si>
  <si>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</si>
  <si>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</si>
  <si>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</si>
  <si>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</si>
  <si>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</si>
  <si>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</si>
  <si>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</si>
  <si>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</si>
  <si>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</si>
  <si>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</si>
  <si>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</si>
  <si>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</si>
  <si>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</si>
  <si>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</si>
  <si>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</si>
  <si>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</si>
  <si>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</si>
  <si>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</si>
  <si>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</si>
  <si>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</si>
  <si>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</si>
  <si>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</si>
  <si>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</si>
  <si>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</si>
  <si>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</si>
  <si>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</si>
  <si>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</si>
  <si>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</si>
  <si>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</si>
  <si>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</si>
  <si>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</si>
  <si>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</si>
  <si>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</si>
  <si>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</si>
  <si>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</si>
  <si>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</si>
  <si>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</si>
  <si>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</si>
  <si>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</si>
  <si>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</si>
  <si>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</si>
  <si>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</si>
  <si>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</si>
  <si>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</si>
  <si>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</si>
  <si>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</si>
  <si>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</si>
  <si>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</si>
  <si>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</si>
  <si>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</si>
  <si>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</si>
  <si>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</si>
  <si>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</si>
  <si>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</si>
  <si>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</si>
  <si>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</si>
  <si>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</si>
  <si>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</si>
  <si>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</si>
  <si>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</si>
  <si>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</si>
  <si>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</si>
  <si>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</si>
  <si>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</si>
  <si>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</si>
  <si>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</si>
  <si>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</si>
  <si>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</si>
  <si>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</si>
  <si>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</si>
  <si>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</si>
  <si>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</si>
  <si>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</si>
  <si>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</si>
  <si>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</si>
  <si>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</si>
  <si>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</si>
  <si>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</si>
  <si>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</si>
  <si>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</si>
  <si>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</si>
  <si>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</si>
  <si>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</si>
  <si>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</si>
  <si>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</si>
  <si>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</si>
  <si>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</si>
  <si>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</si>
  <si>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</si>
  <si>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</si>
  <si>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</si>
  <si>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</si>
  <si>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</si>
  <si>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</si>
  <si>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</si>
  <si>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</si>
  <si>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</si>
  <si>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</si>
  <si>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</si>
  <si>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</si>
  <si>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</si>
  <si>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</si>
  <si>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</si>
  <si>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</si>
  <si>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</si>
  <si>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</si>
  <si>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</si>
  <si>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</si>
  <si>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</si>
  <si>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</si>
  <si>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</si>
  <si>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</si>
  <si>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</si>
  <si>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</si>
  <si>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</si>
  <si>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</si>
  <si>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</si>
  <si>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</si>
  <si>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</si>
  <si>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</si>
  <si>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</si>
  <si>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</si>
  <si>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</si>
  <si>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</si>
  <si>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</si>
  <si>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</si>
  <si>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</si>
  <si>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</si>
  <si>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</si>
  <si>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</si>
  <si>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</si>
  <si>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</si>
  <si>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</si>
  <si>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</si>
  <si>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</si>
  <si>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</si>
  <si>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</si>
  <si>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</si>
  <si>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</si>
  <si>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</si>
  <si>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</si>
  <si>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</si>
  <si>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</si>
  <si>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</si>
  <si>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</si>
  <si>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</si>
  <si>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</si>
  <si>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</si>
  <si>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</si>
  <si>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</si>
  <si>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</si>
  <si>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</si>
  <si>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</si>
  <si>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</si>
  <si>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</si>
  <si>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</si>
  <si>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</si>
  <si>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</si>
  <si>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</si>
  <si>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</si>
  <si>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</si>
  <si>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</si>
  <si>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</si>
  <si>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</si>
  <si>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</si>
  <si>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</si>
  <si>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</si>
  <si>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</si>
  <si>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</si>
  <si>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</si>
  <si>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</si>
  <si>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</si>
  <si>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</si>
  <si>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</si>
  <si>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</si>
  <si>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</si>
  <si>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</si>
  <si>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</si>
  <si>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</si>
  <si>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</si>
  <si>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</si>
  <si>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</si>
  <si>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</si>
  <si>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</si>
  <si>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</si>
  <si>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</si>
  <si>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</si>
  <si>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</si>
  <si>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</si>
  <si>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</si>
  <si>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</si>
  <si>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</si>
  <si>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</si>
  <si>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</si>
  <si>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</si>
  <si>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</si>
  <si>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</si>
  <si>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</si>
  <si>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</si>
  <si>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</si>
  <si>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</si>
  <si>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</si>
  <si>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</si>
  <si>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</si>
  <si>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</si>
  <si>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</si>
  <si>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</si>
  <si>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</si>
  <si>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</si>
  <si>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Autoevaluación</t>
  </si>
  <si>
    <t>Lograr la autorregulación que permita el aseguramiento de la calidad de los programas académicos y de la institución, para el diseño de planes de mejoramiento continuo que direccionen la planeación institucional.</t>
  </si>
  <si>
    <t>Desde la planeación de la autoevaluación hasta la generación de informes para el registro calificado de los programas, acreditación de alta calidad de los programas e institucional.</t>
  </si>
  <si>
    <t>Carencia de procesos de autoevaluación sistemáticos que permita medir y hacer seguimiento en tiempo real la calidad y pertinencia de los programas académicos y de la institución.</t>
  </si>
  <si>
    <t>Cronograma de autoevaluación y evidencias de ejecución
Decreto vigente y su seguimiento
Registros en plataforma de SACES
Registro de asistencia a capacitación.
Videos
Correos electrónicos</t>
  </si>
  <si>
    <t>Capacitar a la comunidad académico administrativa para la interpretación de la norma, haciendo uso de material POP, u otras herramientas que proporcionen recordación</t>
  </si>
  <si>
    <t>Líder del proceso</t>
  </si>
  <si>
    <t>Falta de compromiso por los actores del proceso en el desarrollo de la documentación y evidencias</t>
  </si>
  <si>
    <t>Correos electrónicos
documento de condiciones iniciales
Registro en plataforma</t>
  </si>
  <si>
    <t>Falta de compromiso en las decanaturas (sistemas, electromecánica, procesos industriales y mecatrónica) y las áreas administrativas que aportan en la evidencia del cumplimiento de alta calidad.</t>
  </si>
  <si>
    <t>No desarrollar el cronograma cumpliendo los tiempos, por causa de la emergencia sanitaria (pandemia)</t>
  </si>
  <si>
    <t>Informe de autoevaluación por decanatura</t>
  </si>
  <si>
    <t>Desarrollar mesas de trabajo con la comunidad administrativa</t>
  </si>
  <si>
    <t>Actas de reuniones
Soportes de recolección de información</t>
  </si>
  <si>
    <t>Pérdida de registro calificado e inactivación de los programas académicos.</t>
  </si>
  <si>
    <t>Posibilidad de afectación reputacional debido a pérdida de registro calificado e inactivación de los programas académicos.por carencia de procesos de autoevaluación sistemáticos que permita medir y hacer seguimiento en tiempo real la calidad y pertinencia de los programas académicos y de la institución.</t>
  </si>
  <si>
    <t>El líder del proceso garantizará el diseño del cronograma de autoevaluación y ejecución del mismo, cada dos (2) años.
El líder del proceso verifica y da cumplimiento a los requisitos establecidos por la normatividad vigente para la renovación de registro, cada vez que se requiera.
El responsable designado del área garantizará la sensibilización y socialización con la comunidad Institucional sobre los procesos de autoevaluación, semestralmente.</t>
  </si>
  <si>
    <t>Para el periodo de reporte el riesgo no se materializó.
1. El cronograma fue presentado al Comité de Autoevaluación y Autorregulación en enero, dicho documento que cuenta con metas y entregables en tiempos definidos y responsables, se entregaron reportes mensuales al Consejo Directivo.
2. A partir del análisis de la normatividad vigente, se consigna en un documento metodológico las reflexiones para su cumplimiento.
3. Se diseñó un cronograma de cultura de autevaluación, selección de embajadores de la ETITC como apoyo a la comunicación del proceso, y capacitación personalizada a las áreas.</t>
  </si>
  <si>
    <t>Incumplimiento con la radicación de condiciones iniciales como primer requisito para la acreditación institucional atrasando el cumplimiento de este objetivo estratégico</t>
  </si>
  <si>
    <t>Posibilidad de afectación reputacional por incumplimiento con la radicación de condiciones iniciales como primer requisito para la acreditación institucional atrasando el cumplimiento de este objetivo estratégico debido a la falta de compromiso por los actores del proceso en el desarrollo de la documentación y evidencias</t>
  </si>
  <si>
    <t>El equipo de Autoevaluación capacita sobre las y solicita la información a las áreas respectivas para consolidar en el documento institucional y radicar condiciones ante el Ministerio de Educación Nacional</t>
  </si>
  <si>
    <t>Para el periodo de reporte el riesgo no se materializó.
1. Se realizó la definición y aprobación de equipos estratégicos, misionales y técnicos para el análisis y consolidación de evidencias.
2. Se han adelantado talleres de reflexión con lideres de factor (estratégicos y misionales) para el mejoramiento de las evidencias.</t>
  </si>
  <si>
    <t>Incumplimiento en la recolección y radicación de información al ente competente para la renovación de la acreditación de programas</t>
  </si>
  <si>
    <t>Posibilidad de afectación reputacional por el incumplimiento en la recolección y radicación de información al ente competente para la renovación de la acreditación de programas debido a la falta de compromiso en las decanaturas (sistemas, electromecánica, procesos industriales y mecatrónica) y las áreas administrativas que aportan en la evidencia del cumplimiento de alta calidad.</t>
  </si>
  <si>
    <t>Sensibilizar y capacitar a las áreas frente el proceso de autoevaluación y el aporte de cada actor en el proceso, así como medir el nivel de cumplimiento de entregables de las áreas pertinentes en el proceso de autoevaluación.</t>
  </si>
  <si>
    <t>Pérdida de la cultura de autoevaluación en las áreas administrativas y académicas</t>
  </si>
  <si>
    <t>Posibilidad de afectación reputacional por pérdida de la cultura de autoevaluación en las áreas administrativas y académicas debido a la baja adopción de los requisitos del modelo de autoevaluación</t>
  </si>
  <si>
    <t>Baja adopción de los requisitos del modelo de autoevaluación</t>
  </si>
  <si>
    <t>Correos electrónicos
Registro fotográfico
Lista de asistencias</t>
  </si>
  <si>
    <t>Retraso en los cronogramas para el desarrollo de Ejercicios de Autoevaluación</t>
  </si>
  <si>
    <t>Probabilidad de afectación reputacional debido al retraso en los cronogramas para el desarrollo de Ejercicios de Autoevaluación por por causa de la emergencia sanitaria (pandemia)</t>
  </si>
  <si>
    <t>Reuniones de sensibilización y vinculación de todas las áreas en la responsabilidad de ejecución del modelo, y medición del cumplimiento institucional.</t>
  </si>
  <si>
    <t>Para el periodo de reporte el riesgo no se materializó.
Se entregaron los borradores de informe para la Facultad de Sistemas, y se está en espera del Comité de Autoevaluación y Autorregulación.</t>
  </si>
  <si>
    <t>Para el periodo de reporte el riesgo no se materializó.
Se han realizado seguimientos para la comprensión de autoevaluación dirigida a la comunidad institucional, y se ha capacitado a los líderes administrativos y académicos.</t>
  </si>
  <si>
    <t xml:space="preserve">saces. Registros calificados </t>
  </si>
  <si>
    <t>saces cna - acreditación</t>
  </si>
  <si>
    <t>}</t>
  </si>
  <si>
    <t>Fecha de actualización: 09/11/2022</t>
  </si>
  <si>
    <r>
      <rPr>
        <b/>
        <sz val="14"/>
        <rFont val="Arial Narrow"/>
        <family val="2"/>
      </rPr>
      <t>LIDER DEL PROCESO:</t>
    </r>
    <r>
      <rPr>
        <sz val="14"/>
        <rFont val="Arial Narrow"/>
        <family val="2"/>
      </rPr>
      <t xml:space="preserve">  MARITZA ZABALA HUERTAS</t>
    </r>
  </si>
  <si>
    <t xml:space="preserve">Mediante el seguimiento efectuado se evidencio que la profesional maneja el cronograma para efectuar el control de vigencia a los registros calificados, el cual cuenta con revisiones periódicas de acuerdo a la normatividad vigente, en dicho documento se observan los Registros Calificados próximos a vencer, toda vez que tienen una vigencia de 7 años, así mismo, se observa en la portal web institucional la Resolución 1583 emitida por el Ministerio de Educación Nacional que en su  art. 2 indica el tiempo de vigencia del registro aprobado, en este mismo sentido, se observa la radicación de documentos para renovación de los registros calificados de los programas: Técnica profesional en mantenimiento industrial, Tecnología en montajes Industriales e ingeniería electromecánica, tramite que ha requerido de radicación de PQRS para su respuesta. De igual forma, se observan los tres programas de procesos industriales registrados en la plataforma SACES y su respectivo seguimiento, Por consiguiente, se cuenta con el informe que contiene los juicios cualitativos, avances y oportunidades de mejora, dicho documento es generado a partir de las herramientas de recolección de información como encuestas, entrevistas, fotografías, valoraciones y los resultados de cada factor y característica, requeridas para la acreditación, incluyendo en dicho informe, las fortalezas y debilidades que posteriormente son socializadas en el comité de autoevaluación. </t>
  </si>
  <si>
    <t>A partir del seguimiento efectuado, se observa la modificación en el control establecido que contribuye con la mitigación del riesgo identificado, actividad que es ejecutada mediante la designación de 13 profesionales lideres para cada factor, personal que tiene como responsabilidad recolectar la información a partir de la caracterización, conceptos de calidad y políticas institucionales, generando un mecanismo de autoevaluación que contribuya con la consolidación del documento de condiciones iniciales, de igual forma, en el mes de octubre se desarrollaron talleres en el que los lideres de cada factor socializaron con los miembros del equipo, sus adelantos e identificación de herramientas que contribuyan con el cumplimiento de los requisitos para la acreditación institucional, generando un documento borrador el cual es socializado ante el comité de autoevaluación para recibir observaciones y luego ser radicado ante el Ministerio de Educación Nacional, finalmente, se evidencio que se cuenta con el apoyo de pares amigos como la Univalle quien asesora a la Entidad para la revisión previa a la radicación de este insumo.</t>
  </si>
  <si>
    <t>Mediante el seguimiento efectuado se evidencio que, fue radicado el informe de la facultad de sistemas y se encuentra pendiente por radicar el de la facultad de mecatrónica, asi mismo, se cuenta con la elaboración del informe correspondiente a la facultad de proceso industriales, de igual modo, se observo en el registro de la plataforma Saces del CNA, Asi mismo, esta pendiente socializar con los estudiantes y la comunidad en general el informe de sistemas para que esten informados y documentados cuando se reciban las visitas de los pares. actividad que contribuye con la mitigacion del riesgo identificado.</t>
  </si>
  <si>
    <t>A partir del seguimiento efectuado se  evidencio la implementación de mecanismos que contribuyen con el fortalecimiento de la cultura de autoevaluacion mediante la definicion de equipos: estrategicos, misionales enel que se encuentran el Vicerector Academico y el Vicerrector de  investigacion, y el equipo tecnico, de los cuales mediante el  desarrollo de talleres y capacitaciones, se esta alimentando el documento en el cual se define el alcance, objetivos y funciones de cada uno en la tarea de acreditacion, observando que los lideres de facto y sus equipos de apoyo se encuentran en etapa de capacitación, la cual es realizada mediante talleres por factor dando continuidad a la toma de conciencia y reflexion de alta calidad de la escuela. actividades que contribuyen con la mitigacion del riesgo identificado.</t>
  </si>
  <si>
    <t>Se observa que el cronograma de autoevaluacion se esta desarrollando, de acuerdo a lo programado de manera virtual y presencial, lo que ha permitido adelantar acciones de recoleccion de informacion, se han realizado las sensibilizaciones por acreditacion institucional tres por factor y privadas con cada uno de los integrantes del factor y con las factultades  reuniones semanalesen los meses de marzo y mayo, informacion incluida en el informe entregado de sistemas, de igual modo, a fecha de este seguimiento se encuentra en consolidacion el informe de capacitaciones con los lideres de cada uno de los factores para entregar al proceso de Gestión de Talento Humano como parte de capacitaciones para la acreditacion institucional, se dejan registros fotografico y grabaciones de capacitaciones virtuales como evidencia de los mismos.actividades que contribuyen con la mitigación del riesgo identificado.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</si>
</sst>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7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center"/>
      <protection hidden="1"/>
    </xf>
    <xf numFmtId="9" fontId="1" fillId="0" borderId="21" xfId="0" applyNumberFormat="1" applyFont="1" applyBorder="1" applyAlignment="1" applyProtection="1">
      <alignment horizontal="center" vertical="center"/>
      <protection hidden="1"/>
    </xf>
    <xf numFmtId="14" fontId="1" fillId="0" borderId="21" xfId="0" applyNumberFormat="1" applyFont="1" applyBorder="1" applyAlignment="1" applyProtection="1">
      <alignment horizontal="center" vertical="center"/>
      <protection locked="0"/>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4" xfId="0" applyFont="1" applyBorder="1" applyAlignment="1">
      <alignment horizontal="center" vertical="center" wrapText="1"/>
    </xf>
    <xf numFmtId="0" fontId="65" fillId="0" borderId="74" xfId="0" applyFont="1" applyBorder="1" applyAlignment="1">
      <alignment vertical="center" wrapText="1"/>
    </xf>
    <xf numFmtId="0" fontId="1" fillId="0" borderId="2" xfId="0" applyFont="1" applyBorder="1" applyAlignment="1">
      <alignment horizontal="center" vertical="center"/>
    </xf>
    <xf numFmtId="0" fontId="1" fillId="0" borderId="21" xfId="0" applyFont="1" applyBorder="1" applyAlignment="1" applyProtection="1">
      <alignment horizontal="center" vertical="center" textRotation="90"/>
      <protection locked="0"/>
    </xf>
    <xf numFmtId="164" fontId="1" fillId="0" borderId="21" xfId="1" applyNumberFormat="1" applyFont="1" applyBorder="1" applyAlignment="1">
      <alignment horizontal="center" vertical="center"/>
    </xf>
    <xf numFmtId="0" fontId="4" fillId="0" borderId="21" xfId="0" applyFont="1" applyBorder="1" applyAlignment="1" applyProtection="1">
      <alignment horizontal="center" vertical="center" textRotation="90" wrapText="1"/>
      <protection hidden="1"/>
    </xf>
    <xf numFmtId="0" fontId="4" fillId="0" borderId="21" xfId="0" applyFont="1" applyBorder="1" applyAlignment="1" applyProtection="1">
      <alignment horizontal="center" vertical="center" textRotation="90"/>
      <protection hidden="1"/>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1" fillId="7" borderId="68" xfId="0" applyFont="1" applyFill="1" applyBorder="1" applyAlignment="1">
      <alignment horizontal="center" vertical="center"/>
    </xf>
    <xf numFmtId="0" fontId="61" fillId="7" borderId="57" xfId="0" applyFont="1" applyFill="1" applyBorder="1" applyAlignment="1">
      <alignment horizontal="center" vertical="center"/>
    </xf>
    <xf numFmtId="0" fontId="61" fillId="7" borderId="21" xfId="0" applyFont="1" applyFill="1" applyBorder="1" applyAlignment="1">
      <alignment horizontal="center" vertical="center" wrapText="1"/>
    </xf>
    <xf numFmtId="0" fontId="60" fillId="7" borderId="72" xfId="0" applyFont="1" applyFill="1" applyBorder="1" applyAlignment="1">
      <alignment horizontal="center" vertical="center"/>
    </xf>
    <xf numFmtId="0" fontId="60" fillId="7" borderId="73" xfId="0" applyFont="1" applyFill="1" applyBorder="1" applyAlignment="1">
      <alignment horizontal="center" vertical="center"/>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wrapText="1"/>
    </xf>
    <xf numFmtId="0" fontId="65" fillId="0" borderId="74" xfId="0" applyFont="1" applyBorder="1" applyAlignment="1">
      <alignment horizontal="center" vertical="center" wrapText="1"/>
    </xf>
    <xf numFmtId="0" fontId="66" fillId="0" borderId="74" xfId="0" applyFont="1" applyBorder="1" applyAlignment="1">
      <alignment horizontal="center" vertical="center" wrapText="1"/>
    </xf>
    <xf numFmtId="0" fontId="49" fillId="0" borderId="72" xfId="0" applyFont="1" applyBorder="1" applyAlignment="1">
      <alignment horizontal="left" vertical="center" wrapText="1"/>
    </xf>
    <xf numFmtId="0" fontId="49" fillId="0" borderId="71" xfId="0" applyFont="1" applyBorder="1" applyAlignment="1">
      <alignment horizontal="left" vertical="center" wrapText="1"/>
    </xf>
    <xf numFmtId="0" fontId="49" fillId="0" borderId="73" xfId="0" applyFont="1" applyBorder="1" applyAlignment="1">
      <alignment horizontal="left" vertical="center" wrapText="1"/>
    </xf>
    <xf numFmtId="0" fontId="1" fillId="0" borderId="2" xfId="0" applyFont="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0" fontId="64" fillId="0" borderId="21" xfId="0" applyFont="1" applyBorder="1" applyAlignment="1">
      <alignment horizontal="left" vertical="center" wrapText="1"/>
    </xf>
    <xf numFmtId="9" fontId="1" fillId="0" borderId="21" xfId="0" applyNumberFormat="1" applyFont="1" applyBorder="1" applyAlignment="1" applyProtection="1">
      <alignment horizontal="center" vertical="center" wrapText="1"/>
      <protection hidden="1"/>
    </xf>
    <xf numFmtId="0" fontId="59" fillId="0" borderId="63" xfId="0" applyFont="1" applyBorder="1" applyAlignment="1" applyProtection="1">
      <alignment horizontal="center" wrapText="1"/>
      <protection locked="0"/>
    </xf>
    <xf numFmtId="0" fontId="59" fillId="0" borderId="0" xfId="0" applyFont="1" applyAlignment="1" applyProtection="1">
      <alignment horizontal="center" wrapText="1"/>
      <protection locked="0"/>
    </xf>
    <xf numFmtId="0" fontId="59" fillId="0" borderId="68"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61" fillId="7" borderId="21" xfId="0" applyFont="1" applyFill="1" applyBorder="1" applyAlignment="1">
      <alignment horizontal="center" vertical="center" textRotation="90"/>
    </xf>
    <xf numFmtId="0" fontId="58" fillId="0" borderId="0" xfId="0" applyFont="1" applyAlignment="1" applyProtection="1">
      <alignment horizontal="center" vertical="center"/>
      <protection locked="0"/>
    </xf>
    <xf numFmtId="0" fontId="58" fillId="0" borderId="64" xfId="0" applyFont="1" applyBorder="1" applyAlignment="1" applyProtection="1">
      <alignment horizontal="center" vertical="center"/>
      <protection locked="0"/>
    </xf>
    <xf numFmtId="0" fontId="58" fillId="0" borderId="57" xfId="0" applyFont="1" applyBorder="1" applyAlignment="1" applyProtection="1">
      <alignment horizontal="center" vertical="center"/>
      <protection locked="0"/>
    </xf>
    <xf numFmtId="0" fontId="58" fillId="0" borderId="65" xfId="0" applyFont="1" applyBorder="1" applyAlignment="1" applyProtection="1">
      <alignment horizontal="center" vertical="center"/>
      <protection locked="0"/>
    </xf>
    <xf numFmtId="0" fontId="57" fillId="0" borderId="67" xfId="0" applyFont="1" applyBorder="1" applyAlignment="1">
      <alignment horizontal="left" vertical="center"/>
    </xf>
    <xf numFmtId="0" fontId="57" fillId="0" borderId="66" xfId="0" applyFont="1" applyBorder="1" applyAlignment="1">
      <alignment horizontal="left" vertical="center"/>
    </xf>
    <xf numFmtId="0" fontId="57" fillId="0" borderId="63" xfId="0" applyFont="1" applyBorder="1" applyAlignment="1">
      <alignment horizontal="left" vertical="center"/>
    </xf>
    <xf numFmtId="0" fontId="57" fillId="0" borderId="64" xfId="0" applyFont="1" applyBorder="1" applyAlignment="1">
      <alignment horizontal="left" vertical="center"/>
    </xf>
    <xf numFmtId="0" fontId="57" fillId="0" borderId="68" xfId="0" applyFont="1" applyBorder="1" applyAlignment="1">
      <alignment horizontal="left" vertical="center"/>
    </xf>
    <xf numFmtId="0" fontId="57" fillId="0" borderId="65" xfId="0" applyFont="1" applyBorder="1" applyAlignment="1">
      <alignment horizontal="left" vertical="center"/>
    </xf>
    <xf numFmtId="0" fontId="67" fillId="0" borderId="72" xfId="0" applyFont="1" applyBorder="1" applyAlignment="1">
      <alignment horizontal="left" vertical="center"/>
    </xf>
    <xf numFmtId="0" fontId="67" fillId="0" borderId="71" xfId="0" applyFont="1" applyBorder="1" applyAlignment="1">
      <alignment horizontal="left" vertical="center"/>
    </xf>
    <xf numFmtId="0" fontId="67" fillId="0" borderId="73" xfId="0" applyFont="1" applyBorder="1" applyAlignment="1">
      <alignment horizontal="left"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7" xfId="0" applyFont="1" applyBorder="1" applyAlignment="1">
      <alignment horizontal="center" vertical="center" wrapText="1"/>
    </xf>
    <xf numFmtId="0" fontId="42" fillId="0" borderId="0" xfId="0" applyFont="1" applyAlignment="1">
      <alignment horizontal="center" vertical="center"/>
    </xf>
    <xf numFmtId="0" fontId="42" fillId="0" borderId="7"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2" fillId="0" borderId="6" xfId="0" applyFont="1" applyBorder="1" applyAlignment="1">
      <alignment horizontal="center" vertical="center"/>
    </xf>
    <xf numFmtId="0" fontId="42" fillId="0" borderId="8" xfId="0" applyFont="1" applyBorder="1" applyAlignment="1">
      <alignment horizontal="center" vertical="center"/>
    </xf>
    <xf numFmtId="0" fontId="42" fillId="0" borderId="10" xfId="0" applyFont="1" applyBorder="1" applyAlignment="1">
      <alignment horizontal="center" vertical="center"/>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8">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ont>
        <color rgb="FF9C0006"/>
      </font>
      <fill>
        <patternFill>
          <bgColor rgb="FFFFC7CE"/>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468470</xdr:colOff>
      <xdr:row>2</xdr:row>
      <xdr:rowOff>179585</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782235" cy="605409"/>
        </a:xfrm>
        <a:prstGeom prst="rect">
          <a:avLst/>
        </a:prstGeom>
        <a:noFill/>
        <a:ln>
          <a:noFill/>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3" zoomScale="130" zoomScaleNormal="130" workbookViewId="0">
      <selection activeCell="E36" sqref="E36:F36"/>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7" t="s">
        <v>163</v>
      </c>
      <c r="C2" s="168"/>
      <c r="D2" s="168"/>
      <c r="E2" s="168"/>
      <c r="F2" s="168"/>
      <c r="G2" s="168"/>
      <c r="H2" s="169"/>
    </row>
    <row r="3" spans="2:8" x14ac:dyDescent="0.25">
      <c r="B3" s="76"/>
      <c r="C3" s="77"/>
      <c r="D3" s="77"/>
      <c r="E3" s="77"/>
      <c r="F3" s="77"/>
      <c r="G3" s="77"/>
      <c r="H3" s="78"/>
    </row>
    <row r="4" spans="2:8" ht="63" customHeight="1" x14ac:dyDescent="0.25">
      <c r="B4" s="170" t="s">
        <v>206</v>
      </c>
      <c r="C4" s="171"/>
      <c r="D4" s="171"/>
      <c r="E4" s="171"/>
      <c r="F4" s="171"/>
      <c r="G4" s="171"/>
      <c r="H4" s="172"/>
    </row>
    <row r="5" spans="2:8" ht="63" customHeight="1" x14ac:dyDescent="0.25">
      <c r="B5" s="173"/>
      <c r="C5" s="174"/>
      <c r="D5" s="174"/>
      <c r="E5" s="174"/>
      <c r="F5" s="174"/>
      <c r="G5" s="174"/>
      <c r="H5" s="175"/>
    </row>
    <row r="6" spans="2:8" ht="16.5" x14ac:dyDescent="0.25">
      <c r="B6" s="176" t="s">
        <v>161</v>
      </c>
      <c r="C6" s="177"/>
      <c r="D6" s="177"/>
      <c r="E6" s="177"/>
      <c r="F6" s="177"/>
      <c r="G6" s="177"/>
      <c r="H6" s="178"/>
    </row>
    <row r="7" spans="2:8" ht="95.25" customHeight="1" x14ac:dyDescent="0.25">
      <c r="B7" s="186" t="s">
        <v>166</v>
      </c>
      <c r="C7" s="187"/>
      <c r="D7" s="187"/>
      <c r="E7" s="187"/>
      <c r="F7" s="187"/>
      <c r="G7" s="187"/>
      <c r="H7" s="188"/>
    </row>
    <row r="8" spans="2:8" ht="16.5" x14ac:dyDescent="0.25">
      <c r="B8" s="112"/>
      <c r="C8" s="113"/>
      <c r="D8" s="113"/>
      <c r="E8" s="113"/>
      <c r="F8" s="113"/>
      <c r="G8" s="113"/>
      <c r="H8" s="114"/>
    </row>
    <row r="9" spans="2:8" ht="16.5" customHeight="1" x14ac:dyDescent="0.25">
      <c r="B9" s="179" t="s">
        <v>199</v>
      </c>
      <c r="C9" s="180"/>
      <c r="D9" s="180"/>
      <c r="E9" s="180"/>
      <c r="F9" s="180"/>
      <c r="G9" s="180"/>
      <c r="H9" s="181"/>
    </row>
    <row r="10" spans="2:8" ht="44.25" customHeight="1" x14ac:dyDescent="0.25">
      <c r="B10" s="179"/>
      <c r="C10" s="180"/>
      <c r="D10" s="180"/>
      <c r="E10" s="180"/>
      <c r="F10" s="180"/>
      <c r="G10" s="180"/>
      <c r="H10" s="181"/>
    </row>
    <row r="11" spans="2:8" ht="15.75" thickBot="1" x14ac:dyDescent="0.3">
      <c r="B11" s="101"/>
      <c r="C11" s="104"/>
      <c r="D11" s="109"/>
      <c r="E11" s="110"/>
      <c r="F11" s="110"/>
      <c r="G11" s="111"/>
      <c r="H11" s="105"/>
    </row>
    <row r="12" spans="2:8" ht="15.75" thickTop="1" x14ac:dyDescent="0.25">
      <c r="B12" s="101"/>
      <c r="C12" s="182" t="s">
        <v>162</v>
      </c>
      <c r="D12" s="183"/>
      <c r="E12" s="184" t="s">
        <v>200</v>
      </c>
      <c r="F12" s="185"/>
      <c r="G12" s="104"/>
      <c r="H12" s="105"/>
    </row>
    <row r="13" spans="2:8" ht="35.25" customHeight="1" x14ac:dyDescent="0.25">
      <c r="B13" s="101"/>
      <c r="C13" s="154" t="s">
        <v>193</v>
      </c>
      <c r="D13" s="155"/>
      <c r="E13" s="156" t="s">
        <v>198</v>
      </c>
      <c r="F13" s="157"/>
      <c r="G13" s="104"/>
      <c r="H13" s="105"/>
    </row>
    <row r="14" spans="2:8" ht="17.25" customHeight="1" x14ac:dyDescent="0.25">
      <c r="B14" s="101"/>
      <c r="C14" s="154" t="s">
        <v>194</v>
      </c>
      <c r="D14" s="155"/>
      <c r="E14" s="156" t="s">
        <v>196</v>
      </c>
      <c r="F14" s="157"/>
      <c r="G14" s="104"/>
      <c r="H14" s="105"/>
    </row>
    <row r="15" spans="2:8" ht="19.5" customHeight="1" x14ac:dyDescent="0.25">
      <c r="B15" s="101"/>
      <c r="C15" s="154" t="s">
        <v>195</v>
      </c>
      <c r="D15" s="155"/>
      <c r="E15" s="156" t="s">
        <v>197</v>
      </c>
      <c r="F15" s="157"/>
      <c r="G15" s="104"/>
      <c r="H15" s="105"/>
    </row>
    <row r="16" spans="2:8" ht="69.75" customHeight="1" x14ac:dyDescent="0.25">
      <c r="B16" s="101"/>
      <c r="C16" s="154" t="s">
        <v>164</v>
      </c>
      <c r="D16" s="155"/>
      <c r="E16" s="156" t="s">
        <v>165</v>
      </c>
      <c r="F16" s="157"/>
      <c r="G16" s="104"/>
      <c r="H16" s="105"/>
    </row>
    <row r="17" spans="2:8" ht="34.5" customHeight="1" x14ac:dyDescent="0.25">
      <c r="B17" s="101"/>
      <c r="C17" s="158" t="s">
        <v>2</v>
      </c>
      <c r="D17" s="159"/>
      <c r="E17" s="150" t="s">
        <v>207</v>
      </c>
      <c r="F17" s="151"/>
      <c r="G17" s="104"/>
      <c r="H17" s="105"/>
    </row>
    <row r="18" spans="2:8" ht="27.75" customHeight="1" x14ac:dyDescent="0.25">
      <c r="B18" s="101"/>
      <c r="C18" s="158" t="s">
        <v>3</v>
      </c>
      <c r="D18" s="159"/>
      <c r="E18" s="150" t="s">
        <v>208</v>
      </c>
      <c r="F18" s="151"/>
      <c r="G18" s="104"/>
      <c r="H18" s="105"/>
    </row>
    <row r="19" spans="2:8" ht="28.5" customHeight="1" x14ac:dyDescent="0.25">
      <c r="B19" s="101"/>
      <c r="C19" s="158" t="s">
        <v>41</v>
      </c>
      <c r="D19" s="159"/>
      <c r="E19" s="150" t="s">
        <v>209</v>
      </c>
      <c r="F19" s="151"/>
      <c r="G19" s="104"/>
      <c r="H19" s="105"/>
    </row>
    <row r="20" spans="2:8" ht="72.75" customHeight="1" x14ac:dyDescent="0.25">
      <c r="B20" s="101"/>
      <c r="C20" s="158" t="s">
        <v>1</v>
      </c>
      <c r="D20" s="159"/>
      <c r="E20" s="150" t="s">
        <v>210</v>
      </c>
      <c r="F20" s="151"/>
      <c r="G20" s="104"/>
      <c r="H20" s="105"/>
    </row>
    <row r="21" spans="2:8" ht="64.5" customHeight="1" x14ac:dyDescent="0.25">
      <c r="B21" s="101"/>
      <c r="C21" s="158" t="s">
        <v>49</v>
      </c>
      <c r="D21" s="159"/>
      <c r="E21" s="150" t="s">
        <v>168</v>
      </c>
      <c r="F21" s="151"/>
      <c r="G21" s="104"/>
      <c r="H21" s="105"/>
    </row>
    <row r="22" spans="2:8" ht="71.25" customHeight="1" x14ac:dyDescent="0.25">
      <c r="B22" s="101"/>
      <c r="C22" s="158" t="s">
        <v>167</v>
      </c>
      <c r="D22" s="159"/>
      <c r="E22" s="150" t="s">
        <v>169</v>
      </c>
      <c r="F22" s="151"/>
      <c r="G22" s="104"/>
      <c r="H22" s="105"/>
    </row>
    <row r="23" spans="2:8" ht="55.5" customHeight="1" x14ac:dyDescent="0.25">
      <c r="B23" s="101"/>
      <c r="C23" s="152" t="s">
        <v>170</v>
      </c>
      <c r="D23" s="153"/>
      <c r="E23" s="150" t="s">
        <v>171</v>
      </c>
      <c r="F23" s="151"/>
      <c r="G23" s="104"/>
      <c r="H23" s="105"/>
    </row>
    <row r="24" spans="2:8" ht="42" customHeight="1" x14ac:dyDescent="0.25">
      <c r="B24" s="101"/>
      <c r="C24" s="152" t="s">
        <v>47</v>
      </c>
      <c r="D24" s="153"/>
      <c r="E24" s="150" t="s">
        <v>172</v>
      </c>
      <c r="F24" s="151"/>
      <c r="G24" s="104"/>
      <c r="H24" s="105"/>
    </row>
    <row r="25" spans="2:8" ht="59.25" customHeight="1" x14ac:dyDescent="0.25">
      <c r="B25" s="101"/>
      <c r="C25" s="152" t="s">
        <v>160</v>
      </c>
      <c r="D25" s="153"/>
      <c r="E25" s="150" t="s">
        <v>173</v>
      </c>
      <c r="F25" s="151"/>
      <c r="G25" s="104"/>
      <c r="H25" s="105"/>
    </row>
    <row r="26" spans="2:8" ht="23.25" customHeight="1" x14ac:dyDescent="0.25">
      <c r="B26" s="101"/>
      <c r="C26" s="152" t="s">
        <v>12</v>
      </c>
      <c r="D26" s="153"/>
      <c r="E26" s="150" t="s">
        <v>174</v>
      </c>
      <c r="F26" s="151"/>
      <c r="G26" s="104"/>
      <c r="H26" s="105"/>
    </row>
    <row r="27" spans="2:8" ht="30.75" customHeight="1" x14ac:dyDescent="0.25">
      <c r="B27" s="101"/>
      <c r="C27" s="152" t="s">
        <v>178</v>
      </c>
      <c r="D27" s="153"/>
      <c r="E27" s="150" t="s">
        <v>175</v>
      </c>
      <c r="F27" s="151"/>
      <c r="G27" s="104"/>
      <c r="H27" s="105"/>
    </row>
    <row r="28" spans="2:8" ht="35.25" customHeight="1" x14ac:dyDescent="0.25">
      <c r="B28" s="101"/>
      <c r="C28" s="152" t="s">
        <v>179</v>
      </c>
      <c r="D28" s="153"/>
      <c r="E28" s="150" t="s">
        <v>176</v>
      </c>
      <c r="F28" s="151"/>
      <c r="G28" s="104"/>
      <c r="H28" s="105"/>
    </row>
    <row r="29" spans="2:8" ht="33" customHeight="1" x14ac:dyDescent="0.25">
      <c r="B29" s="101"/>
      <c r="C29" s="152" t="s">
        <v>179</v>
      </c>
      <c r="D29" s="153"/>
      <c r="E29" s="150" t="s">
        <v>176</v>
      </c>
      <c r="F29" s="151"/>
      <c r="G29" s="104"/>
      <c r="H29" s="105"/>
    </row>
    <row r="30" spans="2:8" ht="30" customHeight="1" x14ac:dyDescent="0.25">
      <c r="B30" s="101"/>
      <c r="C30" s="152" t="s">
        <v>180</v>
      </c>
      <c r="D30" s="153"/>
      <c r="E30" s="150" t="s">
        <v>177</v>
      </c>
      <c r="F30" s="151"/>
      <c r="G30" s="104"/>
      <c r="H30" s="105"/>
    </row>
    <row r="31" spans="2:8" ht="35.25" customHeight="1" x14ac:dyDescent="0.25">
      <c r="B31" s="101"/>
      <c r="C31" s="152" t="s">
        <v>181</v>
      </c>
      <c r="D31" s="153"/>
      <c r="E31" s="150" t="s">
        <v>182</v>
      </c>
      <c r="F31" s="151"/>
      <c r="G31" s="104"/>
      <c r="H31" s="105"/>
    </row>
    <row r="32" spans="2:8" ht="31.5" customHeight="1" x14ac:dyDescent="0.25">
      <c r="B32" s="101"/>
      <c r="C32" s="152" t="s">
        <v>183</v>
      </c>
      <c r="D32" s="153"/>
      <c r="E32" s="150" t="s">
        <v>184</v>
      </c>
      <c r="F32" s="151"/>
      <c r="G32" s="104"/>
      <c r="H32" s="105"/>
    </row>
    <row r="33" spans="2:8" ht="35.25" customHeight="1" x14ac:dyDescent="0.25">
      <c r="B33" s="101"/>
      <c r="C33" s="152" t="s">
        <v>185</v>
      </c>
      <c r="D33" s="153"/>
      <c r="E33" s="150" t="s">
        <v>186</v>
      </c>
      <c r="F33" s="151"/>
      <c r="G33" s="104"/>
      <c r="H33" s="105"/>
    </row>
    <row r="34" spans="2:8" ht="59.25" customHeight="1" x14ac:dyDescent="0.25">
      <c r="B34" s="101"/>
      <c r="C34" s="152" t="s">
        <v>187</v>
      </c>
      <c r="D34" s="153"/>
      <c r="E34" s="150" t="s">
        <v>188</v>
      </c>
      <c r="F34" s="151"/>
      <c r="G34" s="104"/>
      <c r="H34" s="105"/>
    </row>
    <row r="35" spans="2:8" ht="29.25" customHeight="1" x14ac:dyDescent="0.25">
      <c r="B35" s="101"/>
      <c r="C35" s="152" t="s">
        <v>29</v>
      </c>
      <c r="D35" s="153"/>
      <c r="E35" s="150" t="s">
        <v>189</v>
      </c>
      <c r="F35" s="151"/>
      <c r="G35" s="104"/>
      <c r="H35" s="105"/>
    </row>
    <row r="36" spans="2:8" ht="82.5" customHeight="1" x14ac:dyDescent="0.25">
      <c r="B36" s="101"/>
      <c r="C36" s="152" t="s">
        <v>191</v>
      </c>
      <c r="D36" s="153"/>
      <c r="E36" s="150" t="s">
        <v>190</v>
      </c>
      <c r="F36" s="151"/>
      <c r="G36" s="104"/>
      <c r="H36" s="105"/>
    </row>
    <row r="37" spans="2:8" ht="46.5" customHeight="1" x14ac:dyDescent="0.25">
      <c r="B37" s="101"/>
      <c r="C37" s="152" t="s">
        <v>38</v>
      </c>
      <c r="D37" s="153"/>
      <c r="E37" s="150" t="s">
        <v>192</v>
      </c>
      <c r="F37" s="151"/>
      <c r="G37" s="104"/>
      <c r="H37" s="105"/>
    </row>
    <row r="38" spans="2:8" ht="6.75" customHeight="1" thickBot="1" x14ac:dyDescent="0.3">
      <c r="B38" s="101"/>
      <c r="C38" s="163"/>
      <c r="D38" s="164"/>
      <c r="E38" s="165"/>
      <c r="F38" s="166"/>
      <c r="G38" s="104"/>
      <c r="H38" s="105"/>
    </row>
    <row r="39" spans="2:8" ht="15.75" thickTop="1" x14ac:dyDescent="0.25">
      <c r="B39" s="101"/>
      <c r="C39" s="102"/>
      <c r="D39" s="102"/>
      <c r="E39" s="103"/>
      <c r="F39" s="103"/>
      <c r="G39" s="104"/>
      <c r="H39" s="105"/>
    </row>
    <row r="40" spans="2:8" ht="21" customHeight="1" x14ac:dyDescent="0.25">
      <c r="B40" s="160" t="s">
        <v>201</v>
      </c>
      <c r="C40" s="161"/>
      <c r="D40" s="161"/>
      <c r="E40" s="161"/>
      <c r="F40" s="161"/>
      <c r="G40" s="161"/>
      <c r="H40" s="162"/>
    </row>
    <row r="41" spans="2:8" ht="20.25" customHeight="1" x14ac:dyDescent="0.25">
      <c r="B41" s="160" t="s">
        <v>202</v>
      </c>
      <c r="C41" s="161"/>
      <c r="D41" s="161"/>
      <c r="E41" s="161"/>
      <c r="F41" s="161"/>
      <c r="G41" s="161"/>
      <c r="H41" s="162"/>
    </row>
    <row r="42" spans="2:8" ht="20.25" customHeight="1" x14ac:dyDescent="0.25">
      <c r="B42" s="160" t="s">
        <v>203</v>
      </c>
      <c r="C42" s="161"/>
      <c r="D42" s="161"/>
      <c r="E42" s="161"/>
      <c r="F42" s="161"/>
      <c r="G42" s="161"/>
      <c r="H42" s="162"/>
    </row>
    <row r="43" spans="2:8" ht="20.25" customHeight="1" x14ac:dyDescent="0.25">
      <c r="B43" s="160" t="s">
        <v>204</v>
      </c>
      <c r="C43" s="161"/>
      <c r="D43" s="161"/>
      <c r="E43" s="161"/>
      <c r="F43" s="161"/>
      <c r="G43" s="161"/>
      <c r="H43" s="162"/>
    </row>
    <row r="44" spans="2:8" x14ac:dyDescent="0.25">
      <c r="B44" s="160" t="s">
        <v>205</v>
      </c>
      <c r="C44" s="161"/>
      <c r="D44" s="161"/>
      <c r="E44" s="161"/>
      <c r="F44" s="161"/>
      <c r="G44" s="161"/>
      <c r="H44" s="162"/>
    </row>
    <row r="45" spans="2:8" ht="15.75" thickBot="1" x14ac:dyDescent="0.3">
      <c r="B45" s="106"/>
      <c r="C45" s="107"/>
      <c r="D45" s="107"/>
      <c r="E45" s="107"/>
      <c r="F45" s="107"/>
      <c r="G45" s="107"/>
      <c r="H45" s="108"/>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2"/>
  <sheetViews>
    <sheetView showGridLines="0" tabSelected="1" topLeftCell="A10" zoomScale="85" zoomScaleNormal="85" workbookViewId="0">
      <selection activeCell="G11" sqref="G11"/>
    </sheetView>
  </sheetViews>
  <sheetFormatPr baseColWidth="10" defaultColWidth="11.42578125" defaultRowHeight="16.5" x14ac:dyDescent="0.3"/>
  <cols>
    <col min="1" max="1" width="4.7109375" style="2" customWidth="1"/>
    <col min="2" max="3" width="12" style="2" customWidth="1"/>
    <col min="4" max="4" width="14.140625" style="2" customWidth="1"/>
    <col min="5" max="5" width="13.140625" style="2" customWidth="1"/>
    <col min="6" max="6" width="28.855468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18.42578125" style="1" customWidth="1"/>
    <col min="41" max="41" width="21" style="1" customWidth="1"/>
    <col min="42" max="42" width="14.140625" style="1" customWidth="1"/>
    <col min="43" max="43" width="33.140625" style="1" customWidth="1"/>
    <col min="44" max="44" width="20.7109375" style="1" customWidth="1"/>
    <col min="45" max="45" width="15.42578125" style="1" customWidth="1"/>
    <col min="46" max="46" width="128" style="1" customWidth="1"/>
    <col min="47" max="47" width="17.28515625" style="1" customWidth="1"/>
    <col min="48" max="16384" width="11.42578125" style="1"/>
  </cols>
  <sheetData>
    <row r="1" spans="1:73" x14ac:dyDescent="0.3">
      <c r="A1" s="207" t="s">
        <v>213</v>
      </c>
      <c r="B1" s="208"/>
      <c r="C1" s="208"/>
      <c r="D1" s="208"/>
      <c r="E1" s="212" t="s">
        <v>214</v>
      </c>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c r="AM1" s="212"/>
      <c r="AN1" s="212"/>
      <c r="AO1" s="212"/>
      <c r="AP1" s="212"/>
      <c r="AQ1" s="212"/>
      <c r="AR1" s="212"/>
      <c r="AS1" s="213"/>
      <c r="AT1" s="216" t="s">
        <v>215</v>
      </c>
      <c r="AU1" s="217"/>
    </row>
    <row r="2" spans="1:73" x14ac:dyDescent="0.3">
      <c r="A2" s="207"/>
      <c r="B2" s="208"/>
      <c r="C2" s="208"/>
      <c r="D2" s="208"/>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2"/>
      <c r="AN2" s="212"/>
      <c r="AO2" s="212"/>
      <c r="AP2" s="212"/>
      <c r="AQ2" s="212"/>
      <c r="AR2" s="212"/>
      <c r="AS2" s="213"/>
      <c r="AT2" s="218" t="s">
        <v>222</v>
      </c>
      <c r="AU2" s="219"/>
    </row>
    <row r="3" spans="1:73" x14ac:dyDescent="0.3">
      <c r="A3" s="207"/>
      <c r="B3" s="208"/>
      <c r="C3" s="208"/>
      <c r="D3" s="208"/>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3"/>
      <c r="AT3" s="218" t="s">
        <v>223</v>
      </c>
      <c r="AU3" s="219"/>
    </row>
    <row r="4" spans="1:73" x14ac:dyDescent="0.3">
      <c r="A4" s="209"/>
      <c r="B4" s="210"/>
      <c r="C4" s="210"/>
      <c r="D4" s="210"/>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5"/>
      <c r="AT4" s="220" t="s">
        <v>216</v>
      </c>
      <c r="AU4" s="221"/>
    </row>
    <row r="5" spans="1:73" ht="23.25" x14ac:dyDescent="0.3">
      <c r="A5" s="192" t="s">
        <v>42</v>
      </c>
      <c r="B5" s="193"/>
      <c r="C5" s="222" t="s">
        <v>254</v>
      </c>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223"/>
      <c r="AS5" s="223"/>
      <c r="AT5" s="223"/>
      <c r="AU5" s="224"/>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23.25" x14ac:dyDescent="0.3">
      <c r="A6" s="192" t="s">
        <v>129</v>
      </c>
      <c r="B6" s="193"/>
      <c r="C6" s="222" t="s">
        <v>255</v>
      </c>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223"/>
      <c r="AS6" s="223"/>
      <c r="AT6" s="223"/>
      <c r="AU6" s="224"/>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3.25" x14ac:dyDescent="0.3">
      <c r="A7" s="192" t="s">
        <v>43</v>
      </c>
      <c r="B7" s="193"/>
      <c r="C7" s="222" t="s">
        <v>256</v>
      </c>
      <c r="D7" s="223"/>
      <c r="E7" s="223"/>
      <c r="F7" s="223"/>
      <c r="G7" s="223"/>
      <c r="H7" s="223"/>
      <c r="I7" s="223"/>
      <c r="J7" s="223"/>
      <c r="K7" s="223"/>
      <c r="L7" s="223"/>
      <c r="M7" s="223"/>
      <c r="N7" s="223"/>
      <c r="O7" s="223"/>
      <c r="P7" s="223"/>
      <c r="Q7" s="223"/>
      <c r="R7" s="223"/>
      <c r="S7" s="223"/>
      <c r="T7" s="223"/>
      <c r="U7" s="223"/>
      <c r="V7" s="223"/>
      <c r="W7" s="223"/>
      <c r="X7" s="223"/>
      <c r="Y7" s="223"/>
      <c r="Z7" s="223"/>
      <c r="AA7" s="223"/>
      <c r="AB7" s="223"/>
      <c r="AC7" s="223"/>
      <c r="AD7" s="223"/>
      <c r="AE7" s="223"/>
      <c r="AF7" s="223"/>
      <c r="AG7" s="223"/>
      <c r="AH7" s="223"/>
      <c r="AI7" s="223"/>
      <c r="AJ7" s="223"/>
      <c r="AK7" s="223"/>
      <c r="AL7" s="223"/>
      <c r="AM7" s="223"/>
      <c r="AN7" s="223"/>
      <c r="AO7" s="223"/>
      <c r="AP7" s="223"/>
      <c r="AQ7" s="223"/>
      <c r="AR7" s="223"/>
      <c r="AS7" s="223"/>
      <c r="AT7" s="223"/>
      <c r="AU7" s="224"/>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194" t="s">
        <v>138</v>
      </c>
      <c r="B8" s="194"/>
      <c r="C8" s="194"/>
      <c r="D8" s="194"/>
      <c r="E8" s="195"/>
      <c r="F8" s="195"/>
      <c r="G8" s="195"/>
      <c r="H8" s="195"/>
      <c r="I8" s="195"/>
      <c r="J8" s="195"/>
      <c r="K8" s="195"/>
      <c r="L8" s="195" t="s">
        <v>139</v>
      </c>
      <c r="M8" s="195"/>
      <c r="N8" s="195"/>
      <c r="O8" s="195"/>
      <c r="P8" s="195"/>
      <c r="Q8" s="195"/>
      <c r="R8" s="195"/>
      <c r="S8" s="195" t="s">
        <v>140</v>
      </c>
      <c r="T8" s="195"/>
      <c r="U8" s="195"/>
      <c r="V8" s="195"/>
      <c r="W8" s="195"/>
      <c r="X8" s="195"/>
      <c r="Y8" s="195"/>
      <c r="Z8" s="195"/>
      <c r="AA8" s="195"/>
      <c r="AB8" s="195"/>
      <c r="AC8" s="195" t="s">
        <v>141</v>
      </c>
      <c r="AD8" s="195"/>
      <c r="AE8" s="195"/>
      <c r="AF8" s="195"/>
      <c r="AG8" s="195"/>
      <c r="AH8" s="195"/>
      <c r="AI8" s="195"/>
      <c r="AJ8" s="189" t="s">
        <v>34</v>
      </c>
      <c r="AK8" s="190"/>
      <c r="AL8" s="190"/>
      <c r="AM8" s="190"/>
      <c r="AN8" s="190"/>
      <c r="AO8" s="190"/>
      <c r="AP8" s="190"/>
      <c r="AQ8" s="190"/>
      <c r="AR8" s="190"/>
      <c r="AS8" s="190"/>
      <c r="AT8" s="190"/>
      <c r="AU8" s="190"/>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x14ac:dyDescent="0.3">
      <c r="A9" s="211" t="s">
        <v>0</v>
      </c>
      <c r="B9" s="194" t="s">
        <v>13</v>
      </c>
      <c r="C9" s="194" t="s">
        <v>236</v>
      </c>
      <c r="D9" s="194" t="s">
        <v>2</v>
      </c>
      <c r="E9" s="191" t="s">
        <v>3</v>
      </c>
      <c r="F9" s="191" t="s">
        <v>41</v>
      </c>
      <c r="G9" s="194" t="s">
        <v>1</v>
      </c>
      <c r="H9" s="191" t="s">
        <v>49</v>
      </c>
      <c r="I9" s="191" t="s">
        <v>252</v>
      </c>
      <c r="J9" s="191" t="s">
        <v>253</v>
      </c>
      <c r="K9" s="191" t="s">
        <v>134</v>
      </c>
      <c r="L9" s="191" t="s">
        <v>33</v>
      </c>
      <c r="M9" s="194" t="s">
        <v>5</v>
      </c>
      <c r="N9" s="191" t="s">
        <v>86</v>
      </c>
      <c r="O9" s="191" t="s">
        <v>91</v>
      </c>
      <c r="P9" s="191" t="s">
        <v>44</v>
      </c>
      <c r="Q9" s="194" t="s">
        <v>5</v>
      </c>
      <c r="R9" s="191" t="s">
        <v>47</v>
      </c>
      <c r="S9" s="196" t="s">
        <v>11</v>
      </c>
      <c r="T9" s="191" t="s">
        <v>160</v>
      </c>
      <c r="U9" s="191" t="s">
        <v>212</v>
      </c>
      <c r="V9" s="191" t="s">
        <v>12</v>
      </c>
      <c r="W9" s="191" t="s">
        <v>8</v>
      </c>
      <c r="X9" s="191"/>
      <c r="Y9" s="191"/>
      <c r="Z9" s="191"/>
      <c r="AA9" s="191"/>
      <c r="AB9" s="191"/>
      <c r="AC9" s="196" t="s">
        <v>137</v>
      </c>
      <c r="AD9" s="196" t="s">
        <v>45</v>
      </c>
      <c r="AE9" s="196" t="s">
        <v>5</v>
      </c>
      <c r="AF9" s="196" t="s">
        <v>46</v>
      </c>
      <c r="AG9" s="196" t="s">
        <v>5</v>
      </c>
      <c r="AH9" s="196" t="s">
        <v>48</v>
      </c>
      <c r="AI9" s="196" t="s">
        <v>29</v>
      </c>
      <c r="AJ9" s="191" t="s">
        <v>34</v>
      </c>
      <c r="AK9" s="191" t="s">
        <v>35</v>
      </c>
      <c r="AL9" s="191" t="s">
        <v>36</v>
      </c>
      <c r="AM9" s="191" t="s">
        <v>37</v>
      </c>
      <c r="AN9" s="191" t="s">
        <v>224</v>
      </c>
      <c r="AO9" s="191" t="s">
        <v>38</v>
      </c>
      <c r="AP9" s="191" t="s">
        <v>37</v>
      </c>
      <c r="AQ9" s="191" t="s">
        <v>225</v>
      </c>
      <c r="AR9" s="191" t="s">
        <v>38</v>
      </c>
      <c r="AS9" s="191" t="s">
        <v>37</v>
      </c>
      <c r="AT9" s="191" t="s">
        <v>226</v>
      </c>
      <c r="AU9" s="191"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80.25" x14ac:dyDescent="0.25">
      <c r="A10" s="211"/>
      <c r="B10" s="194"/>
      <c r="C10" s="194"/>
      <c r="D10" s="194"/>
      <c r="E10" s="191"/>
      <c r="F10" s="191"/>
      <c r="G10" s="194"/>
      <c r="H10" s="191"/>
      <c r="I10" s="191"/>
      <c r="J10" s="191"/>
      <c r="K10" s="191"/>
      <c r="L10" s="191"/>
      <c r="M10" s="194"/>
      <c r="N10" s="191"/>
      <c r="O10" s="191"/>
      <c r="P10" s="194"/>
      <c r="Q10" s="194"/>
      <c r="R10" s="191"/>
      <c r="S10" s="196"/>
      <c r="T10" s="191"/>
      <c r="U10" s="191"/>
      <c r="V10" s="191"/>
      <c r="W10" s="127" t="s">
        <v>13</v>
      </c>
      <c r="X10" s="127" t="s">
        <v>17</v>
      </c>
      <c r="Y10" s="127" t="s">
        <v>28</v>
      </c>
      <c r="Z10" s="127" t="s">
        <v>18</v>
      </c>
      <c r="AA10" s="127" t="s">
        <v>21</v>
      </c>
      <c r="AB10" s="127" t="s">
        <v>24</v>
      </c>
      <c r="AC10" s="196"/>
      <c r="AD10" s="196"/>
      <c r="AE10" s="196"/>
      <c r="AF10" s="196"/>
      <c r="AG10" s="196"/>
      <c r="AH10" s="196"/>
      <c r="AI10" s="196"/>
      <c r="AJ10" s="191"/>
      <c r="AK10" s="191"/>
      <c r="AL10" s="191"/>
      <c r="AM10" s="191"/>
      <c r="AN10" s="191"/>
      <c r="AO10" s="191"/>
      <c r="AP10" s="191"/>
      <c r="AQ10" s="191"/>
      <c r="AR10" s="191"/>
      <c r="AS10" s="191"/>
      <c r="AT10" s="191"/>
      <c r="AU10" s="191"/>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237" customHeight="1" x14ac:dyDescent="0.3">
      <c r="A11" s="116">
        <v>1</v>
      </c>
      <c r="B11" s="116" t="s">
        <v>231</v>
      </c>
      <c r="C11" s="116" t="s">
        <v>239</v>
      </c>
      <c r="D11" s="117" t="s">
        <v>133</v>
      </c>
      <c r="E11" s="117" t="s">
        <v>268</v>
      </c>
      <c r="F11" s="117" t="s">
        <v>257</v>
      </c>
      <c r="G11" s="118" t="s">
        <v>269</v>
      </c>
      <c r="H11" s="117" t="s">
        <v>127</v>
      </c>
      <c r="I11" s="117" t="s">
        <v>246</v>
      </c>
      <c r="J11" s="117" t="s">
        <v>249</v>
      </c>
      <c r="K11" s="119">
        <v>2</v>
      </c>
      <c r="L11" s="120" t="str">
        <f>IF(K11&lt;=0,"",IF(K11&lt;=2,"Muy Baja",IF(K11&lt;=24,"Baja",IF(K11&lt;=500,"Media",IF(K11&lt;=5000,"Alta","Muy Alta")))))</f>
        <v>Muy Baja</v>
      </c>
      <c r="M11" s="121">
        <f>IF(L11="","",IF(L11="Muy Baja",0.2,IF(L11="Baja",0.4,IF(L11="Media",0.6,IF(L11="Alta",0.8,IF(L11="Muy Alta",1,))))))</f>
        <v>0.2</v>
      </c>
      <c r="N11" s="122" t="s">
        <v>150</v>
      </c>
      <c r="O11" s="206" t="str">
        <f>IF(NOT(ISERROR(MATCH(N11,'Tabla Impacto'!$B$221:$B$223,0))),'Tabla Impacto'!$F$223&amp;"Por favor no seleccionar los criterios de impacto(Afectación Económica o presupuestal y Pérdida Reputacional)",N11)</f>
        <v xml:space="preserve">     El riesgo afecta la imagen de alguna área de la organización</v>
      </c>
      <c r="P11" s="120" t="str">
        <f>IF(OR(O11='Tabla Impacto'!$C$11,O11='Tabla Impacto'!$D$11),"Leve",IF(OR(O11='Tabla Impacto'!$C$12,O11='Tabla Impacto'!$D$12),"Menor",IF(OR(O11='Tabla Impacto'!$C$13,O11='Tabla Impacto'!$D$13),"Moderado",IF(OR(O11='Tabla Impacto'!$C$14,O11='Tabla Impacto'!$D$14),"Mayor",IF(OR(O11='Tabla Impacto'!$C$15,O11='Tabla Impacto'!$D$15),"Catastrófico","")))))</f>
        <v>Leve</v>
      </c>
      <c r="Q11" s="121">
        <f>IF(P11="","",IF(P11="Leve",0.2,IF(P11="Menor",0.4,IF(P11="Moderado",0.6,IF(P11="Mayor",0.8,IF(P11="Catastrófico",1,))))))</f>
        <v>0.2</v>
      </c>
      <c r="R11" s="123"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Bajo</v>
      </c>
      <c r="S11" s="116">
        <v>3</v>
      </c>
      <c r="T11" s="147" t="s">
        <v>270</v>
      </c>
      <c r="U11" s="148" t="s">
        <v>258</v>
      </c>
      <c r="V11" s="124" t="str">
        <f>IF(OR(W11="Preventivo",W11="Detectivo"),"Probabilidad",IF(W11="Correctivo","Impacto",""))</f>
        <v>Probabilidad</v>
      </c>
      <c r="W11" s="143" t="s">
        <v>14</v>
      </c>
      <c r="X11" s="143" t="s">
        <v>9</v>
      </c>
      <c r="Y11" s="125" t="str">
        <f>IF(AND(W11="Preventivo",X11="Automático"),"50%",IF(AND(W11="Preventivo",X11="Manual"),"40%",IF(AND(W11="Detectivo",X11="Automático"),"40%",IF(AND(W11="Detectivo",X11="Manual"),"30%",IF(AND(W11="Correctivo",X11="Automático"),"35%",IF(AND(W11="Correctivo",X11="Manual"),"25%",""))))))</f>
        <v>40%</v>
      </c>
      <c r="Z11" s="143" t="s">
        <v>19</v>
      </c>
      <c r="AA11" s="143" t="s">
        <v>22</v>
      </c>
      <c r="AB11" s="143" t="s">
        <v>118</v>
      </c>
      <c r="AC11" s="144">
        <f>IFERROR(IF(V11="Probabilidad",(M11-(+M11*Y11)),IF(V11="Impacto",M11,"")),"")</f>
        <v>0.12</v>
      </c>
      <c r="AD11" s="145" t="str">
        <f>IFERROR(IF(AC11="","",IF(AC11&lt;=0.2,"Muy Baja",IF(AC11&lt;=0.4,"Baja",IF(AC11&lt;=0.6,"Media",IF(AC11&lt;=0.8,"Alta","Muy Alta"))))),"")</f>
        <v>Muy Baja</v>
      </c>
      <c r="AE11" s="125">
        <f>+AC11</f>
        <v>0.12</v>
      </c>
      <c r="AF11" s="145" t="str">
        <f>IFERROR(IF(AG11="","",IF(AG11&lt;=0.2,"Leve",IF(AG11&lt;=0.4,"Menor",IF(AG11&lt;=0.6,"Moderado",IF(AG11&lt;=0.8,"Mayor","Catastrófico"))))),"")</f>
        <v>Leve</v>
      </c>
      <c r="AG11" s="125">
        <f>IFERROR(IF(V11="Impacto",(Q11-(+Q11*Y11)),IF(V11="Probabilidad",Q11,"")),"")</f>
        <v>0.2</v>
      </c>
      <c r="AH11" s="146"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Bajo</v>
      </c>
      <c r="AI11" s="143" t="s">
        <v>135</v>
      </c>
      <c r="AJ11" s="117" t="s">
        <v>259</v>
      </c>
      <c r="AK11" s="117" t="s">
        <v>260</v>
      </c>
      <c r="AL11" s="126">
        <v>44562</v>
      </c>
      <c r="AM11" s="126">
        <v>44650</v>
      </c>
      <c r="AN11" s="117"/>
      <c r="AO11" s="119"/>
      <c r="AP11" s="126">
        <v>44803</v>
      </c>
      <c r="AQ11" s="149" t="s">
        <v>271</v>
      </c>
      <c r="AR11" s="119" t="s">
        <v>40</v>
      </c>
      <c r="AS11" s="126">
        <v>44874</v>
      </c>
      <c r="AT11" s="147" t="s">
        <v>293</v>
      </c>
      <c r="AU11" s="119" t="s">
        <v>40</v>
      </c>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230.45" customHeight="1" x14ac:dyDescent="0.3">
      <c r="A12" s="116">
        <v>2</v>
      </c>
      <c r="B12" s="116" t="s">
        <v>231</v>
      </c>
      <c r="C12" s="116" t="s">
        <v>239</v>
      </c>
      <c r="D12" s="117" t="s">
        <v>131</v>
      </c>
      <c r="E12" s="117" t="s">
        <v>272</v>
      </c>
      <c r="F12" s="117" t="s">
        <v>261</v>
      </c>
      <c r="G12" s="118" t="s">
        <v>273</v>
      </c>
      <c r="H12" s="117" t="s">
        <v>122</v>
      </c>
      <c r="I12" s="117" t="s">
        <v>246</v>
      </c>
      <c r="J12" s="117" t="s">
        <v>249</v>
      </c>
      <c r="K12" s="119">
        <v>1</v>
      </c>
      <c r="L12" s="120" t="str">
        <f t="shared" ref="L12:L15" si="0">IF(K12&lt;=0,"",IF(K12&lt;=2,"Muy Baja",IF(K12&lt;=24,"Baja",IF(K12&lt;=500,"Media",IF(K12&lt;=5000,"Alta","Muy Alta")))))</f>
        <v>Muy Baja</v>
      </c>
      <c r="M12" s="121">
        <f t="shared" ref="M12:M15" si="1">IF(L12="","",IF(L12="Muy Baja",0.2,IF(L12="Baja",0.4,IF(L12="Media",0.6,IF(L12="Alta",0.8,IF(L12="Muy Alta",1,))))))</f>
        <v>0.2</v>
      </c>
      <c r="N12" s="122" t="s">
        <v>150</v>
      </c>
      <c r="O12" s="206"/>
      <c r="P12" s="120" t="str">
        <f>IF(OR(O12='Tabla Impacto'!$C$11,O12='Tabla Impacto'!$D$11),"Leve",IF(OR(O12='Tabla Impacto'!$C$12,O12='Tabla Impacto'!$D$12),"Menor",IF(OR(O12='Tabla Impacto'!$C$13,O12='Tabla Impacto'!$D$13),"Moderado",IF(OR(O12='Tabla Impacto'!$C$14,O12='Tabla Impacto'!$D$14),"Mayor",IF(OR(O12='Tabla Impacto'!$C$15,O12='Tabla Impacto'!$D$15),"Catastrófico","")))))</f>
        <v/>
      </c>
      <c r="Q12" s="121" t="str">
        <f t="shared" ref="Q12:Q15" si="2">IF(P12="","",IF(P12="Leve",0.2,IF(P12="Menor",0.4,IF(P12="Moderado",0.6,IF(P12="Mayor",0.8,IF(P12="Catastrófico",1,))))))</f>
        <v/>
      </c>
      <c r="R12" s="123" t="str">
        <f t="shared" ref="R12:R14" si="3">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
      </c>
      <c r="S12" s="116">
        <v>1</v>
      </c>
      <c r="T12" s="147" t="s">
        <v>274</v>
      </c>
      <c r="U12" s="148" t="s">
        <v>262</v>
      </c>
      <c r="V12" s="124" t="str">
        <f>IF(OR(W12="Preventivo",W12="Detectivo"),"Probabilidad",IF(W12="Correctivo","Impacto",""))</f>
        <v>Probabilidad</v>
      </c>
      <c r="W12" s="143" t="s">
        <v>14</v>
      </c>
      <c r="X12" s="143" t="s">
        <v>9</v>
      </c>
      <c r="Y12" s="125" t="str">
        <f t="shared" ref="Y12:Y13" si="4">IF(AND(W12="Preventivo",X12="Automático"),"50%",IF(AND(W12="Preventivo",X12="Manual"),"40%",IF(AND(W12="Detectivo",X12="Automático"),"40%",IF(AND(W12="Detectivo",X12="Manual"),"30%",IF(AND(W12="Correctivo",X12="Automático"),"35%",IF(AND(W12="Correctivo",X12="Manual"),"25%",""))))))</f>
        <v>40%</v>
      </c>
      <c r="Z12" s="143" t="s">
        <v>19</v>
      </c>
      <c r="AA12" s="143" t="s">
        <v>22</v>
      </c>
      <c r="AB12" s="143" t="s">
        <v>118</v>
      </c>
      <c r="AC12" s="144"/>
      <c r="AD12" s="145" t="str">
        <f t="shared" ref="AD12:AD15" si="5">IFERROR(IF(AC12="","",IF(AC12&lt;=0.2,"Muy Baja",IF(AC12&lt;=0.4,"Baja",IF(AC12&lt;=0.6,"Media",IF(AC12&lt;=0.8,"Alta","Muy Alta"))))),"")</f>
        <v/>
      </c>
      <c r="AE12" s="125">
        <f t="shared" ref="AE12:AE15" si="6">+AC12</f>
        <v>0</v>
      </c>
      <c r="AF12" s="145" t="str">
        <f t="shared" ref="AF12:AF15" si="7">IFERROR(IF(AG12="","",IF(AG12&lt;=0.2,"Leve",IF(AG12&lt;=0.4,"Menor",IF(AG12&lt;=0.6,"Moderado",IF(AG12&lt;=0.8,"Mayor","Catastrófico"))))),"")</f>
        <v/>
      </c>
      <c r="AG12" s="125" t="str">
        <f t="shared" ref="AG12:AG15" si="8">IFERROR(IF(V12="Impacto",(Q12-(+Q12*Y12)),IF(V12="Probabilidad",Q12,"")),"")</f>
        <v/>
      </c>
      <c r="AH12" s="146" t="str">
        <f t="shared" ref="AH12:AH15" si="9">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
      </c>
      <c r="AI12" s="143" t="s">
        <v>135</v>
      </c>
      <c r="AJ12" s="117" t="s">
        <v>259</v>
      </c>
      <c r="AK12" s="117" t="s">
        <v>260</v>
      </c>
      <c r="AL12" s="126"/>
      <c r="AM12" s="126"/>
      <c r="AN12" s="117"/>
      <c r="AO12" s="119"/>
      <c r="AP12" s="126">
        <v>44803</v>
      </c>
      <c r="AQ12" s="149" t="s">
        <v>275</v>
      </c>
      <c r="AR12" s="119" t="s">
        <v>40</v>
      </c>
      <c r="AS12" s="126">
        <v>44874</v>
      </c>
      <c r="AT12" s="117" t="s">
        <v>294</v>
      </c>
      <c r="AU12" s="119" t="s">
        <v>40</v>
      </c>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198" x14ac:dyDescent="0.3">
      <c r="A13" s="116">
        <v>3</v>
      </c>
      <c r="B13" s="116" t="s">
        <v>231</v>
      </c>
      <c r="C13" s="116" t="s">
        <v>239</v>
      </c>
      <c r="D13" s="117" t="s">
        <v>131</v>
      </c>
      <c r="E13" s="117" t="s">
        <v>276</v>
      </c>
      <c r="F13" s="117" t="s">
        <v>263</v>
      </c>
      <c r="G13" s="118" t="s">
        <v>277</v>
      </c>
      <c r="H13" s="117" t="s">
        <v>122</v>
      </c>
      <c r="I13" s="117" t="s">
        <v>246</v>
      </c>
      <c r="J13" s="117" t="s">
        <v>249</v>
      </c>
      <c r="K13" s="119">
        <v>1</v>
      </c>
      <c r="L13" s="120" t="str">
        <f t="shared" si="0"/>
        <v>Muy Baja</v>
      </c>
      <c r="M13" s="121">
        <f t="shared" si="1"/>
        <v>0.2</v>
      </c>
      <c r="N13" s="122" t="s">
        <v>150</v>
      </c>
      <c r="O13" s="206"/>
      <c r="P13" s="120" t="str">
        <f>IF(OR(O13='Tabla Impacto'!$C$11,O13='Tabla Impacto'!$D$11),"Leve",IF(OR(O13='Tabla Impacto'!$C$12,O13='Tabla Impacto'!$D$12),"Menor",IF(OR(O13='Tabla Impacto'!$C$13,O13='Tabla Impacto'!$D$13),"Moderado",IF(OR(O13='Tabla Impacto'!$C$14,O13='Tabla Impacto'!$D$14),"Mayor",IF(OR(O13='Tabla Impacto'!$C$15,O13='Tabla Impacto'!$D$15),"Catastrófico","")))))</f>
        <v/>
      </c>
      <c r="Q13" s="121" t="str">
        <f t="shared" si="2"/>
        <v/>
      </c>
      <c r="R13" s="123" t="str">
        <f t="shared" si="3"/>
        <v/>
      </c>
      <c r="S13" s="116">
        <v>1</v>
      </c>
      <c r="T13" s="147" t="s">
        <v>278</v>
      </c>
      <c r="U13" s="148" t="s">
        <v>265</v>
      </c>
      <c r="V13" s="124" t="str">
        <f>IF(OR(W13="Preventivo",W13="Detectivo"),"Probabilidad",IF(W13="Correctivo","Impacto",""))</f>
        <v>Probabilidad</v>
      </c>
      <c r="W13" s="143" t="s">
        <v>14</v>
      </c>
      <c r="X13" s="143" t="s">
        <v>9</v>
      </c>
      <c r="Y13" s="125" t="str">
        <f t="shared" si="4"/>
        <v>40%</v>
      </c>
      <c r="Z13" s="143" t="s">
        <v>19</v>
      </c>
      <c r="AA13" s="143" t="s">
        <v>22</v>
      </c>
      <c r="AB13" s="143" t="s">
        <v>118</v>
      </c>
      <c r="AC13" s="144"/>
      <c r="AD13" s="145" t="str">
        <f t="shared" si="5"/>
        <v/>
      </c>
      <c r="AE13" s="125">
        <f t="shared" si="6"/>
        <v>0</v>
      </c>
      <c r="AF13" s="145" t="str">
        <f t="shared" si="7"/>
        <v/>
      </c>
      <c r="AG13" s="125" t="str">
        <f t="shared" si="8"/>
        <v/>
      </c>
      <c r="AH13" s="146" t="str">
        <f t="shared" si="9"/>
        <v/>
      </c>
      <c r="AI13" s="143" t="s">
        <v>135</v>
      </c>
      <c r="AJ13" s="117" t="s">
        <v>266</v>
      </c>
      <c r="AK13" s="117" t="s">
        <v>260</v>
      </c>
      <c r="AL13" s="126"/>
      <c r="AM13" s="126"/>
      <c r="AN13" s="117"/>
      <c r="AO13" s="119"/>
      <c r="AP13" s="126">
        <v>44803</v>
      </c>
      <c r="AQ13" s="149" t="s">
        <v>286</v>
      </c>
      <c r="AR13" s="119" t="s">
        <v>40</v>
      </c>
      <c r="AS13" s="126">
        <v>44874</v>
      </c>
      <c r="AT13" s="149" t="s">
        <v>295</v>
      </c>
      <c r="AU13" s="119" t="s">
        <v>39</v>
      </c>
      <c r="AV13" s="5"/>
      <c r="AW13" s="5" t="s">
        <v>288</v>
      </c>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15.5" x14ac:dyDescent="0.3">
      <c r="A14" s="116">
        <v>4</v>
      </c>
      <c r="B14" s="116" t="s">
        <v>231</v>
      </c>
      <c r="C14" s="116" t="s">
        <v>239</v>
      </c>
      <c r="D14" s="117" t="s">
        <v>131</v>
      </c>
      <c r="E14" s="117" t="s">
        <v>279</v>
      </c>
      <c r="F14" s="117" t="s">
        <v>281</v>
      </c>
      <c r="G14" s="118" t="s">
        <v>280</v>
      </c>
      <c r="H14" s="117" t="s">
        <v>122</v>
      </c>
      <c r="I14" s="117" t="s">
        <v>246</v>
      </c>
      <c r="J14" s="117" t="s">
        <v>249</v>
      </c>
      <c r="K14" s="119">
        <v>1</v>
      </c>
      <c r="L14" s="120" t="str">
        <f t="shared" si="0"/>
        <v>Muy Baja</v>
      </c>
      <c r="M14" s="121">
        <f t="shared" si="1"/>
        <v>0.2</v>
      </c>
      <c r="N14" s="122" t="s">
        <v>150</v>
      </c>
      <c r="O14" s="206"/>
      <c r="P14" s="120" t="str">
        <f>IF(OR(O14='Tabla Impacto'!$C$11,O14='Tabla Impacto'!$D$11),"Leve",IF(OR(O14='Tabla Impacto'!$C$12,O14='Tabla Impacto'!$D$12),"Menor",IF(OR(O14='Tabla Impacto'!$C$13,O14='Tabla Impacto'!$D$13),"Moderado",IF(OR(O14='Tabla Impacto'!$C$14,O14='Tabla Impacto'!$D$14),"Mayor",IF(OR(O14='Tabla Impacto'!$C$15,O14='Tabla Impacto'!$D$15),"Catastrófico","")))))</f>
        <v/>
      </c>
      <c r="Q14" s="121" t="str">
        <f t="shared" si="2"/>
        <v/>
      </c>
      <c r="R14" s="123" t="str">
        <f t="shared" si="3"/>
        <v/>
      </c>
      <c r="S14" s="116">
        <v>1</v>
      </c>
      <c r="T14" s="147" t="s">
        <v>278</v>
      </c>
      <c r="U14" s="148" t="s">
        <v>282</v>
      </c>
      <c r="V14" s="124" t="str">
        <f t="shared" ref="V14:V15" si="10">IF(OR(W14="Preventivo",W14="Detectivo"),"Probabilidad",IF(W14="Correctivo","Impacto",""))</f>
        <v>Probabilidad</v>
      </c>
      <c r="W14" s="143" t="s">
        <v>14</v>
      </c>
      <c r="X14" s="143" t="s">
        <v>9</v>
      </c>
      <c r="Y14" s="125" t="str">
        <f t="shared" ref="Y14:Y15" si="11">IF(AND(W14="Preventivo",X14="Automático"),"50%",IF(AND(W14="Preventivo",X14="Manual"),"40%",IF(AND(W14="Detectivo",X14="Automático"),"40%",IF(AND(W14="Detectivo",X14="Manual"),"30%",IF(AND(W14="Correctivo",X14="Automático"),"35%",IF(AND(W14="Correctivo",X14="Manual"),"25%",""))))))</f>
        <v>40%</v>
      </c>
      <c r="Z14" s="143" t="s">
        <v>19</v>
      </c>
      <c r="AA14" s="143" t="s">
        <v>22</v>
      </c>
      <c r="AB14" s="143" t="s">
        <v>118</v>
      </c>
      <c r="AC14" s="144"/>
      <c r="AD14" s="145" t="str">
        <f t="shared" si="5"/>
        <v/>
      </c>
      <c r="AE14" s="125">
        <f t="shared" si="6"/>
        <v>0</v>
      </c>
      <c r="AF14" s="145" t="str">
        <f t="shared" si="7"/>
        <v/>
      </c>
      <c r="AG14" s="125" t="str">
        <f t="shared" si="8"/>
        <v/>
      </c>
      <c r="AH14" s="146" t="str">
        <f t="shared" si="9"/>
        <v/>
      </c>
      <c r="AI14" s="143" t="s">
        <v>135</v>
      </c>
      <c r="AJ14" s="117"/>
      <c r="AK14" s="117"/>
      <c r="AL14" s="126"/>
      <c r="AM14" s="126"/>
      <c r="AN14" s="117"/>
      <c r="AO14" s="119"/>
      <c r="AP14" s="126">
        <v>44803</v>
      </c>
      <c r="AQ14" s="149" t="s">
        <v>287</v>
      </c>
      <c r="AR14" s="119" t="s">
        <v>40</v>
      </c>
      <c r="AS14" s="126">
        <v>44874</v>
      </c>
      <c r="AT14" s="149" t="s">
        <v>296</v>
      </c>
      <c r="AU14" s="119" t="s">
        <v>39</v>
      </c>
      <c r="AV14" s="5"/>
      <c r="AW14" s="5" t="s">
        <v>289</v>
      </c>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297" x14ac:dyDescent="0.3">
      <c r="A15" s="116">
        <v>5</v>
      </c>
      <c r="B15" s="116" t="s">
        <v>231</v>
      </c>
      <c r="C15" s="116" t="s">
        <v>239</v>
      </c>
      <c r="D15" s="117" t="s">
        <v>132</v>
      </c>
      <c r="E15" s="117" t="s">
        <v>283</v>
      </c>
      <c r="F15" s="117" t="s">
        <v>264</v>
      </c>
      <c r="G15" s="118" t="s">
        <v>284</v>
      </c>
      <c r="H15" s="117" t="s">
        <v>122</v>
      </c>
      <c r="I15" s="117" t="s">
        <v>246</v>
      </c>
      <c r="J15" s="117" t="s">
        <v>249</v>
      </c>
      <c r="K15" s="119">
        <v>1</v>
      </c>
      <c r="L15" s="120" t="str">
        <f t="shared" si="0"/>
        <v>Muy Baja</v>
      </c>
      <c r="M15" s="121">
        <f t="shared" si="1"/>
        <v>0.2</v>
      </c>
      <c r="N15" s="122" t="s">
        <v>150</v>
      </c>
      <c r="O15" s="206" t="str">
        <f>IF(NOT(ISERROR(MATCH(N15,_xlfn.ANCHORARRAY(#REF!),0))),#REF!&amp;"Por favor no seleccionar los criterios de impacto",N15)</f>
        <v xml:space="preserve">     El riesgo afecta la imagen de alguna área de la organización</v>
      </c>
      <c r="P15" s="120" t="str">
        <f>IF(OR(O15='Tabla Impacto'!$C$11,O15='Tabla Impacto'!$D$11),"Leve",IF(OR(O15='Tabla Impacto'!$C$12,O15='Tabla Impacto'!$D$12),"Menor",IF(OR(O15='Tabla Impacto'!$C$13,O15='Tabla Impacto'!$D$13),"Moderado",IF(OR(O15='Tabla Impacto'!$C$14,O15='Tabla Impacto'!$D$14),"Mayor",IF(OR(O15='Tabla Impacto'!$C$15,O15='Tabla Impacto'!$D$15),"Catastrófico","")))))</f>
        <v>Leve</v>
      </c>
      <c r="Q15" s="121">
        <f t="shared" si="2"/>
        <v>0.2</v>
      </c>
      <c r="R15" s="123"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Bajo</v>
      </c>
      <c r="S15" s="116">
        <v>1</v>
      </c>
      <c r="T15" s="147" t="s">
        <v>285</v>
      </c>
      <c r="U15" s="148" t="s">
        <v>267</v>
      </c>
      <c r="V15" s="124" t="str">
        <f t="shared" si="10"/>
        <v>Probabilidad</v>
      </c>
      <c r="W15" s="143" t="s">
        <v>14</v>
      </c>
      <c r="X15" s="143" t="s">
        <v>9</v>
      </c>
      <c r="Y15" s="125" t="str">
        <f t="shared" si="11"/>
        <v>40%</v>
      </c>
      <c r="Z15" s="143" t="s">
        <v>19</v>
      </c>
      <c r="AA15" s="143" t="s">
        <v>22</v>
      </c>
      <c r="AB15" s="143" t="s">
        <v>118</v>
      </c>
      <c r="AC15" s="144">
        <f>IFERROR(IF(V15="Probabilidad",(M15-(+M15*Y15)),IF(V15="Impacto",M15,"")),"")</f>
        <v>0.12</v>
      </c>
      <c r="AD15" s="145" t="str">
        <f t="shared" si="5"/>
        <v>Muy Baja</v>
      </c>
      <c r="AE15" s="125">
        <f t="shared" si="6"/>
        <v>0.12</v>
      </c>
      <c r="AF15" s="145" t="str">
        <f t="shared" si="7"/>
        <v>Leve</v>
      </c>
      <c r="AG15" s="125">
        <f t="shared" si="8"/>
        <v>0.2</v>
      </c>
      <c r="AH15" s="146" t="str">
        <f t="shared" si="9"/>
        <v>Bajo</v>
      </c>
      <c r="AI15" s="143" t="s">
        <v>135</v>
      </c>
      <c r="AJ15" s="117"/>
      <c r="AK15" s="117"/>
      <c r="AL15" s="126"/>
      <c r="AM15" s="126"/>
      <c r="AN15" s="117"/>
      <c r="AO15" s="119"/>
      <c r="AP15" s="126">
        <v>44803</v>
      </c>
      <c r="AQ15" s="149" t="s">
        <v>271</v>
      </c>
      <c r="AR15" s="119" t="s">
        <v>40</v>
      </c>
      <c r="AS15" s="126">
        <v>44874</v>
      </c>
      <c r="AT15" s="149" t="s">
        <v>297</v>
      </c>
      <c r="AU15" s="119" t="s">
        <v>39</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x14ac:dyDescent="0.3">
      <c r="A16" s="115"/>
      <c r="B16" s="142"/>
      <c r="C16" s="142"/>
      <c r="D16" s="202" t="s">
        <v>130</v>
      </c>
      <c r="E16" s="203"/>
      <c r="F16" s="203"/>
      <c r="G16" s="203"/>
      <c r="H16" s="203"/>
      <c r="I16" s="203"/>
      <c r="J16" s="203"/>
      <c r="K16" s="203"/>
      <c r="L16" s="203"/>
      <c r="M16" s="203"/>
      <c r="N16" s="203"/>
      <c r="O16" s="203"/>
      <c r="P16" s="203"/>
      <c r="Q16" s="203"/>
      <c r="R16" s="203"/>
      <c r="S16" s="203"/>
      <c r="T16" s="203"/>
      <c r="U16" s="203"/>
      <c r="V16" s="203"/>
      <c r="W16" s="203"/>
      <c r="X16" s="203"/>
      <c r="Y16" s="203"/>
      <c r="Z16" s="203"/>
      <c r="AA16" s="203"/>
      <c r="AB16" s="203"/>
      <c r="AC16" s="203"/>
      <c r="AD16" s="203"/>
      <c r="AE16" s="203"/>
      <c r="AF16" s="203"/>
      <c r="AG16" s="203"/>
      <c r="AH16" s="203"/>
      <c r="AI16" s="203"/>
      <c r="AJ16" s="203"/>
      <c r="AK16" s="203"/>
      <c r="AL16" s="203"/>
      <c r="AM16" s="203"/>
      <c r="AN16" s="203"/>
      <c r="AO16" s="204"/>
      <c r="AT16" s="1" t="s">
        <v>290</v>
      </c>
    </row>
    <row r="18" spans="1:43" x14ac:dyDescent="0.3">
      <c r="A18" s="128"/>
      <c r="B18" s="129"/>
      <c r="C18" s="129"/>
      <c r="D18" s="129"/>
      <c r="E18" s="129"/>
      <c r="F18" s="129"/>
      <c r="G18" s="129"/>
      <c r="H18" s="1"/>
      <c r="I18" s="1"/>
      <c r="J18" s="1"/>
      <c r="L18" s="132"/>
      <c r="M18" s="129"/>
      <c r="N18" s="129"/>
      <c r="O18" s="129"/>
      <c r="P18" s="129"/>
      <c r="Q18" s="129"/>
      <c r="R18" s="129"/>
      <c r="S18" s="129"/>
      <c r="T18" s="129"/>
      <c r="U18" s="129"/>
      <c r="V18" s="133"/>
      <c r="W18" s="133"/>
      <c r="X18" s="129"/>
      <c r="Y18" s="129"/>
      <c r="Z18" s="129"/>
      <c r="AA18" s="129"/>
      <c r="AB18" s="129"/>
      <c r="AC18" s="129"/>
      <c r="AD18" s="129"/>
      <c r="AE18" s="129"/>
      <c r="AF18" s="129"/>
      <c r="AG18" s="129"/>
      <c r="AH18" s="129"/>
      <c r="AI18" s="134"/>
      <c r="AJ18" s="134"/>
      <c r="AK18" s="129"/>
      <c r="AL18" s="129"/>
      <c r="AM18" s="129"/>
      <c r="AN18" s="129"/>
      <c r="AO18" s="129"/>
      <c r="AP18" s="129"/>
      <c r="AQ18" s="129"/>
    </row>
    <row r="19" spans="1:43" ht="18" x14ac:dyDescent="0.3">
      <c r="A19" s="205" t="s">
        <v>292</v>
      </c>
      <c r="B19" s="205"/>
      <c r="C19" s="205"/>
      <c r="D19" s="205"/>
      <c r="E19" s="205"/>
      <c r="F19" s="205"/>
      <c r="G19" s="205"/>
      <c r="H19" s="1"/>
      <c r="I19" s="1"/>
      <c r="J19" s="1"/>
      <c r="K19" s="199" t="s">
        <v>291</v>
      </c>
      <c r="L19" s="200"/>
      <c r="M19" s="200"/>
      <c r="N19" s="201"/>
      <c r="O19" s="129"/>
      <c r="P19" s="129"/>
      <c r="Q19" s="129"/>
      <c r="R19" s="129"/>
      <c r="S19" s="129"/>
      <c r="T19" s="129"/>
      <c r="U19" s="134"/>
      <c r="V19" s="133"/>
      <c r="W19" s="133"/>
      <c r="X19" s="129"/>
      <c r="Y19" s="133"/>
      <c r="Z19" s="133"/>
      <c r="AA19" s="129"/>
      <c r="AB19" s="129"/>
      <c r="AC19" s="129"/>
      <c r="AD19" s="129"/>
      <c r="AE19" s="129"/>
      <c r="AF19" s="129"/>
      <c r="AG19" s="129"/>
      <c r="AH19" s="129"/>
      <c r="AI19" s="129"/>
      <c r="AJ19" s="129"/>
      <c r="AK19" s="129"/>
      <c r="AL19" s="129"/>
      <c r="AM19" s="129"/>
      <c r="AN19" s="129"/>
      <c r="AO19" s="129"/>
      <c r="AP19" s="129"/>
      <c r="AQ19" s="129"/>
    </row>
    <row r="20" spans="1:43" ht="17.25" thickBot="1" x14ac:dyDescent="0.35">
      <c r="A20"/>
      <c r="B20"/>
      <c r="C20"/>
      <c r="D20"/>
      <c r="E20"/>
      <c r="F20"/>
      <c r="G20"/>
      <c r="H20" s="1"/>
      <c r="I20" s="1"/>
      <c r="J20" s="1"/>
      <c r="L20" s="130" t="str">
        <f>+IFERROR(VLOOKUP(H20,$H$175:$L$179,3,FALSE)*VLOOKUP(K20,$K$175:$L$179,3,FALSE),"")</f>
        <v/>
      </c>
      <c r="M20"/>
      <c r="N20"/>
      <c r="O20"/>
      <c r="P20"/>
      <c r="Q20"/>
      <c r="R20"/>
      <c r="S20"/>
      <c r="T20"/>
      <c r="U20"/>
      <c r="V20" s="130"/>
      <c r="W20" s="131"/>
      <c r="X20"/>
      <c r="Y20" s="131"/>
      <c r="Z20" s="131"/>
      <c r="AA20" s="137"/>
      <c r="AB20" s="137"/>
      <c r="AC20" s="137"/>
      <c r="AD20" s="137"/>
      <c r="AE20" s="135"/>
      <c r="AF20" s="135"/>
      <c r="AG20" s="137"/>
      <c r="AH20" s="138"/>
      <c r="AI20"/>
      <c r="AJ20"/>
      <c r="AK20"/>
      <c r="AL20" s="137"/>
      <c r="AM20"/>
      <c r="AN20" s="137"/>
      <c r="AO20"/>
      <c r="AP20" s="137"/>
      <c r="AQ20"/>
    </row>
    <row r="21" spans="1:43" ht="19.5" thickTop="1" thickBot="1" x14ac:dyDescent="0.35">
      <c r="A21" s="197" t="s">
        <v>217</v>
      </c>
      <c r="B21" s="197"/>
      <c r="C21" s="197"/>
      <c r="D21" s="197"/>
      <c r="E21" s="197"/>
      <c r="F21" s="197"/>
      <c r="G21" s="140" t="s">
        <v>218</v>
      </c>
      <c r="H21" s="197" t="s">
        <v>219</v>
      </c>
      <c r="I21" s="197"/>
      <c r="J21" s="197"/>
      <c r="K21" s="197"/>
      <c r="L21" s="197"/>
      <c r="M21" s="197"/>
      <c r="N21" s="197"/>
      <c r="O21" s="141"/>
      <c r="P21" s="198" t="s">
        <v>220</v>
      </c>
      <c r="Q21" s="198"/>
      <c r="R21" s="198"/>
      <c r="S21" s="197" t="s">
        <v>221</v>
      </c>
      <c r="T21" s="197"/>
      <c r="U21" s="197"/>
      <c r="V21" s="197"/>
      <c r="W21" s="198">
        <v>1</v>
      </c>
      <c r="X21" s="198"/>
      <c r="Y21" s="198"/>
      <c r="Z21" s="198"/>
      <c r="AA21" s="139"/>
      <c r="AB21" s="139"/>
      <c r="AC21" s="139"/>
      <c r="AD21" s="139"/>
      <c r="AE21" s="139"/>
      <c r="AF21" s="139"/>
      <c r="AG21" s="139"/>
      <c r="AH21" s="139"/>
      <c r="AI21" s="139"/>
      <c r="AJ21" s="139"/>
      <c r="AK21" s="139"/>
      <c r="AL21" s="139"/>
      <c r="AM21" s="139"/>
      <c r="AN21" s="139"/>
      <c r="AO21" s="139"/>
      <c r="AP21" s="139"/>
      <c r="AQ21" s="136"/>
    </row>
    <row r="22" spans="1:43" ht="17.25" thickTop="1" x14ac:dyDescent="0.3"/>
  </sheetData>
  <dataConsolidate/>
  <mergeCells count="68">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Q9:AQ10"/>
    <mergeCell ref="D16:AO16"/>
    <mergeCell ref="A19:G19"/>
    <mergeCell ref="O11:O15"/>
    <mergeCell ref="G9:G10"/>
    <mergeCell ref="F9:F10"/>
    <mergeCell ref="E9:E10"/>
    <mergeCell ref="D9:D10"/>
    <mergeCell ref="R9:R10"/>
    <mergeCell ref="N9:N10"/>
    <mergeCell ref="O9:O10"/>
    <mergeCell ref="AO9:AO10"/>
    <mergeCell ref="AN9:AN10"/>
    <mergeCell ref="AM9:AM10"/>
    <mergeCell ref="AL9:AL10"/>
    <mergeCell ref="AK9:AK10"/>
    <mergeCell ref="C9:C10"/>
    <mergeCell ref="S21:V21"/>
    <mergeCell ref="W21:Z21"/>
    <mergeCell ref="A21:F21"/>
    <mergeCell ref="K19:N19"/>
    <mergeCell ref="H21:N21"/>
    <mergeCell ref="P21:R21"/>
    <mergeCell ref="AJ8:AU8"/>
    <mergeCell ref="AR9:AR10"/>
    <mergeCell ref="AS9:AS10"/>
    <mergeCell ref="AT9:AT10"/>
    <mergeCell ref="A5:B5"/>
    <mergeCell ref="A6:B6"/>
    <mergeCell ref="A7:B7"/>
    <mergeCell ref="A8:K8"/>
    <mergeCell ref="L8:R8"/>
    <mergeCell ref="S8:AB8"/>
    <mergeCell ref="S9:S10"/>
    <mergeCell ref="T9:T10"/>
    <mergeCell ref="B9:B10"/>
    <mergeCell ref="V9:V10"/>
  </mergeCells>
  <conditionalFormatting sqref="L11:L15 AD11:AD15">
    <cfRule type="cellIs" dxfId="27" priority="515" operator="equal">
      <formula>"Muy Alta"</formula>
    </cfRule>
    <cfRule type="cellIs" dxfId="26" priority="516" operator="equal">
      <formula>"Alta"</formula>
    </cfRule>
    <cfRule type="cellIs" dxfId="25" priority="517" operator="equal">
      <formula>"Media"</formula>
    </cfRule>
    <cfRule type="cellIs" dxfId="24" priority="518" operator="equal">
      <formula>"Baja"</formula>
    </cfRule>
    <cfRule type="cellIs" dxfId="23" priority="519" operator="equal">
      <formula>"Muy Baja"</formula>
    </cfRule>
  </conditionalFormatting>
  <conditionalFormatting sqref="P11:P15 AF11:AF15">
    <cfRule type="cellIs" dxfId="22" priority="510" operator="equal">
      <formula>"Catastrófico"</formula>
    </cfRule>
    <cfRule type="cellIs" dxfId="21" priority="511" operator="equal">
      <formula>"Mayor"</formula>
    </cfRule>
    <cfRule type="cellIs" dxfId="20" priority="512" operator="equal">
      <formula>"Moderado"</formula>
    </cfRule>
    <cfRule type="cellIs" dxfId="19" priority="513" operator="equal">
      <formula>"Menor"</formula>
    </cfRule>
    <cfRule type="cellIs" dxfId="18" priority="514" operator="equal">
      <formula>"Leve"</formula>
    </cfRule>
  </conditionalFormatting>
  <conditionalFormatting sqref="R11:R15 AH11:AH15">
    <cfRule type="cellIs" dxfId="17" priority="436" operator="equal">
      <formula>"Extremo"</formula>
    </cfRule>
    <cfRule type="cellIs" dxfId="16" priority="437" operator="equal">
      <formula>"Alto"</formula>
    </cfRule>
    <cfRule type="cellIs" dxfId="15" priority="438" operator="equal">
      <formula>"Moderado"</formula>
    </cfRule>
    <cfRule type="cellIs" dxfId="14" priority="439" operator="equal">
      <formula>"Bajo"</formula>
    </cfRule>
  </conditionalFormatting>
  <conditionalFormatting sqref="O11">
    <cfRule type="containsText" dxfId="13" priority="197" operator="containsText" text="❌">
      <formula>NOT(ISERROR(SEARCH("❌",O11)))</formula>
    </cfRule>
  </conditionalFormatting>
  <conditionalFormatting sqref="O15">
    <cfRule type="containsText" dxfId="12" priority="163" operator="containsText" text="❌">
      <formula>NOT(ISERROR(SEARCH("❌",O15)))</formula>
    </cfRule>
  </conditionalFormatting>
  <conditionalFormatting sqref="AE18:AE20">
    <cfRule type="cellIs" dxfId="11" priority="151" stopIfTrue="1" operator="equal">
      <formula>#REF!</formula>
    </cfRule>
    <cfRule type="cellIs" dxfId="10" priority="152" operator="equal">
      <formula>#REF!</formula>
    </cfRule>
    <cfRule type="cellIs" dxfId="9" priority="153" operator="equal">
      <formula>#REF!</formula>
    </cfRule>
  </conditionalFormatting>
  <conditionalFormatting sqref="AF18:AF20">
    <cfRule type="cellIs" dxfId="8" priority="154" stopIfTrue="1" operator="equal">
      <formula>#REF!</formula>
    </cfRule>
    <cfRule type="cellIs" dxfId="7" priority="155" stopIfTrue="1" operator="equal">
      <formula>#REF!</formula>
    </cfRule>
    <cfRule type="cellIs" dxfId="6" priority="156" stopIfTrue="1" operator="equal">
      <formula>#REF!</formula>
    </cfRule>
  </conditionalFormatting>
  <conditionalFormatting sqref="O14">
    <cfRule type="containsText" dxfId="5" priority="93" operator="containsText" text="❌">
      <formula>NOT(ISERROR(SEARCH("❌",O14)))</formula>
    </cfRule>
  </conditionalFormatting>
  <conditionalFormatting sqref="O12:O13">
    <cfRule type="containsText" dxfId="4" priority="35" operator="containsText" text="❌">
      <formula>NOT(ISERROR(SEARCH("❌",O12)))</formula>
    </cfRule>
  </conditionalFormatting>
  <dataValidations count="6">
    <dataValidation type="list" allowBlank="1" showInputMessage="1" showErrorMessage="1" sqref="G18" xr:uid="{00000000-0002-0000-0100-000000000000}">
      <formula1>$G$175:$G$184</formula1>
    </dataValidation>
    <dataValidation type="list" allowBlank="1" showInputMessage="1" showErrorMessage="1" sqref="G20 AE20:AF20" xr:uid="{00000000-0002-0000-0100-000001000000}">
      <formula1>#REF!</formula1>
    </dataValidation>
    <dataValidation type="list" allowBlank="1" showInputMessage="1" showErrorMessage="1" sqref="V20" xr:uid="{00000000-0002-0000-0100-000002000000}">
      <formula1>$N$175:$N$176</formula1>
    </dataValidation>
    <dataValidation type="list" allowBlank="1" showInputMessage="1" showErrorMessage="1" sqref="K20" xr:uid="{00000000-0002-0000-0100-000003000000}">
      <formula1>$K$175:$K$179</formula1>
    </dataValidation>
    <dataValidation type="list" allowBlank="1" showInputMessage="1" showErrorMessage="1" sqref="H20:J20" xr:uid="{00000000-0002-0000-0100-000004000000}">
      <formula1>$H$175:$H$179</formula1>
    </dataValidation>
    <dataValidation type="list" allowBlank="1" showInputMessage="1" showErrorMessage="1" sqref="AP20 AN20 AL20 W20 Y20:AD20" xr:uid="{00000000-0002-0000-0100-000005000000}">
      <formula1>$AL$175:$AL$182</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100-000006000000}">
          <x14:formula1>
            <xm:f>'Opciones Tratamiento'!$B$9:$B$10</xm:f>
          </x14:formula1>
          <xm:sqref>AO11:AO15 AR11:AR15 AU11:AU15</xm:sqref>
        </x14:dataValidation>
        <x14:dataValidation type="list" allowBlank="1" showInputMessage="1" showErrorMessage="1" xr:uid="{00000000-0002-0000-0100-000007000000}">
          <x14:formula1>
            <xm:f>'Tabla Valoración controles'!$D$4:$D$6</xm:f>
          </x14:formula1>
          <xm:sqref>W11:W15</xm:sqref>
        </x14:dataValidation>
        <x14:dataValidation type="list" allowBlank="1" showInputMessage="1" showErrorMessage="1" xr:uid="{00000000-0002-0000-0100-000008000000}">
          <x14:formula1>
            <xm:f>'Tabla Valoración controles'!$D$7:$D$8</xm:f>
          </x14:formula1>
          <xm:sqref>X11:X15</xm:sqref>
        </x14:dataValidation>
        <x14:dataValidation type="list" allowBlank="1" showInputMessage="1" showErrorMessage="1" xr:uid="{00000000-0002-0000-0100-000009000000}">
          <x14:formula1>
            <xm:f>'Tabla Valoración controles'!$D$9:$D$10</xm:f>
          </x14:formula1>
          <xm:sqref>Z11:Z15</xm:sqref>
        </x14:dataValidation>
        <x14:dataValidation type="list" allowBlank="1" showInputMessage="1" showErrorMessage="1" xr:uid="{00000000-0002-0000-0100-00000A000000}">
          <x14:formula1>
            <xm:f>'Tabla Valoración controles'!$D$11:$D$12</xm:f>
          </x14:formula1>
          <xm:sqref>AA11:AA15</xm:sqref>
        </x14:dataValidation>
        <x14:dataValidation type="list" allowBlank="1" showInputMessage="1" showErrorMessage="1" xr:uid="{00000000-0002-0000-0100-00000B000000}">
          <x14:formula1>
            <xm:f>'Tabla Valoración controles'!$D$13:$D$14</xm:f>
          </x14:formula1>
          <xm:sqref>AB11:AB15</xm:sqref>
        </x14:dataValidation>
        <x14:dataValidation type="list" allowBlank="1" showInputMessage="1" showErrorMessage="1" xr:uid="{00000000-0002-0000-0100-00000C000000}">
          <x14:formula1>
            <xm:f>'Opciones Tratamiento'!$B$13:$B$19</xm:f>
          </x14:formula1>
          <xm:sqref>H11:H15</xm:sqref>
        </x14:dataValidation>
        <x14:dataValidation type="list" allowBlank="1" showInputMessage="1" showErrorMessage="1" xr:uid="{00000000-0002-0000-0100-00000D000000}">
          <x14:formula1>
            <xm:f>'Opciones Tratamiento'!$E$2:$E$4</xm:f>
          </x14:formula1>
          <xm:sqref>D11:D15</xm:sqref>
        </x14:dataValidation>
        <x14:dataValidation type="list" allowBlank="1" showInputMessage="1" showErrorMessage="1" xr:uid="{00000000-0002-0000-0100-00000E000000}">
          <x14:formula1>
            <xm:f>'Opciones Tratamiento'!$B$2:$B$5</xm:f>
          </x14:formula1>
          <xm:sqref>AI11:AI15</xm:sqref>
        </x14:dataValidation>
        <x14:dataValidation type="list" allowBlank="1" showInputMessage="1" showErrorMessage="1" xr:uid="{00000000-0002-0000-0100-00000F000000}">
          <x14:formula1>
            <xm:f>'Tabla Impacto'!$F$210:$F$221</xm:f>
          </x14:formula1>
          <xm:sqref>N11:N15</xm:sqref>
        </x14:dataValidation>
        <x14:dataValidation type="custom" allowBlank="1" showInputMessage="1" showErrorMessage="1" error="Recuerde que las acciones se generan bajo la medida de mitigar el riesgo" xr:uid="{00000000-0002-0000-0100-000010000000}">
          <x14:formula1>
            <xm:f>IF(OR(AI11='Opciones Tratamiento'!$B$2,AI11='Opciones Tratamiento'!$B$3,AI11='Opciones Tratamiento'!$B$4),ISBLANK(AI11),ISTEXT(AI11))</xm:f>
          </x14:formula1>
          <xm:sqref>AJ11:AJ15</xm:sqref>
        </x14:dataValidation>
        <x14:dataValidation type="custom" allowBlank="1" showInputMessage="1" showErrorMessage="1" error="Recuerde que las acciones se generan bajo la medida de mitigar el riesgo" xr:uid="{00000000-0002-0000-0100-000011000000}">
          <x14:formula1>
            <xm:f>IF(OR(AI11='Opciones Tratamiento'!$B$2,AI11='Opciones Tratamiento'!$B$3,AI11='Opciones Tratamiento'!$B$4),ISBLANK(AI11),ISTEXT(AI11))</xm:f>
          </x14:formula1>
          <xm:sqref>AK11:AK15</xm:sqref>
        </x14:dataValidation>
        <x14:dataValidation type="custom" allowBlank="1" showInputMessage="1" showErrorMessage="1" error="Recuerde que las acciones se generan bajo la medida de mitigar el riesgo" xr:uid="{00000000-0002-0000-0100-000012000000}">
          <x14:formula1>
            <xm:f>IF(OR(AI11='Opciones Tratamiento'!$B$2,AI11='Opciones Tratamiento'!$B$3,AI11='Opciones Tratamiento'!$B$4),ISBLANK(AI11),ISTEXT(AI11))</xm:f>
          </x14:formula1>
          <xm:sqref>AL11:AL15</xm:sqref>
        </x14:dataValidation>
        <x14:dataValidation type="custom" allowBlank="1" showInputMessage="1" showErrorMessage="1" error="Recuerde que las acciones se generan bajo la medida de mitigar el riesgo" xr:uid="{00000000-0002-0000-0100-000013000000}">
          <x14:formula1>
            <xm:f>IF(OR(AI11='Opciones Tratamiento'!$B$2,AI11='Opciones Tratamiento'!$B$3,AI11='Opciones Tratamiento'!$B$4),ISBLANK(AI11),ISTEXT(AI11))</xm:f>
          </x14:formula1>
          <xm:sqref>AM11:AM15</xm:sqref>
        </x14:dataValidation>
        <x14:dataValidation type="custom" allowBlank="1" showInputMessage="1" showErrorMessage="1" error="Recuerde que las acciones se generan bajo la medida de mitigar el riesgo" xr:uid="{00000000-0002-0000-0100-000014000000}">
          <x14:formula1>
            <xm:f>IF(OR(AI11='Opciones Tratamiento'!$B$2,AI11='Opciones Tratamiento'!$B$3,AI11='Opciones Tratamiento'!$B$4),ISBLANK(AI11),ISTEXT(AI11))</xm:f>
          </x14:formula1>
          <xm:sqref>AN11:AN15 AT12:AT15</xm:sqref>
        </x14:dataValidation>
        <x14:dataValidation type="list" allowBlank="1" showInputMessage="1" showErrorMessage="1" xr:uid="{00000000-0002-0000-0100-000015000000}">
          <x14:formula1>
            <xm:f>Listas!$A$2:$A$9</xm:f>
          </x14:formula1>
          <xm:sqref>B11:B15</xm:sqref>
        </x14:dataValidation>
        <x14:dataValidation type="list" allowBlank="1" showInputMessage="1" showErrorMessage="1" xr:uid="{00000000-0002-0000-0100-000016000000}">
          <x14:formula1>
            <xm:f>Listas!$B$2:$B$7</xm:f>
          </x14:formula1>
          <xm:sqref>C11:C15</xm:sqref>
        </x14:dataValidation>
        <x14:dataValidation type="list" allowBlank="1" showInputMessage="1" showErrorMessage="1" xr:uid="{00000000-0002-0000-0100-000017000000}">
          <x14:formula1>
            <xm:f>Listas!$C$2:$C$6</xm:f>
          </x14:formula1>
          <xm:sqref>I11:I15</xm:sqref>
        </x14:dataValidation>
        <x14:dataValidation type="list" allowBlank="1" showInputMessage="1" showErrorMessage="1" xr:uid="{00000000-0002-0000-0100-000018000000}">
          <x14:formula1>
            <xm:f>Listas!$D$2:$D$5</xm:f>
          </x14:formula1>
          <xm:sqref>J11:J15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310" t="s">
        <v>158</v>
      </c>
      <c r="C2" s="310"/>
      <c r="D2" s="310"/>
      <c r="E2" s="310"/>
      <c r="F2" s="310"/>
      <c r="G2" s="310"/>
      <c r="H2" s="310"/>
      <c r="I2" s="310"/>
      <c r="J2" s="278" t="s">
        <v>2</v>
      </c>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310"/>
      <c r="C3" s="310"/>
      <c r="D3" s="310"/>
      <c r="E3" s="310"/>
      <c r="F3" s="310"/>
      <c r="G3" s="310"/>
      <c r="H3" s="310"/>
      <c r="I3" s="310"/>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310"/>
      <c r="C4" s="310"/>
      <c r="D4" s="310"/>
      <c r="E4" s="310"/>
      <c r="F4" s="310"/>
      <c r="G4" s="310"/>
      <c r="H4" s="310"/>
      <c r="I4" s="310"/>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225" t="s">
        <v>4</v>
      </c>
      <c r="C6" s="225"/>
      <c r="D6" s="226"/>
      <c r="E6" s="263" t="s">
        <v>115</v>
      </c>
      <c r="F6" s="264"/>
      <c r="G6" s="264"/>
      <c r="H6" s="264"/>
      <c r="I6" s="265"/>
      <c r="J6" s="274" t="e">
        <f>IF(AND('Mapa final'!#REF!="Muy Alta",'Mapa final'!#REF!="Leve"),CONCATENATE("R",'Mapa final'!#REF!),"")</f>
        <v>#REF!</v>
      </c>
      <c r="K6" s="275"/>
      <c r="L6" s="275" t="str">
        <f>IF(AND('Mapa final'!$L$11="Muy Alta",'Mapa final'!$P$11="Leve"),CONCATENATE("R",'Mapa final'!$A$11),"")</f>
        <v/>
      </c>
      <c r="M6" s="275"/>
      <c r="N6" s="275" t="e">
        <f>IF(AND('Mapa final'!#REF!="Muy Alta",'Mapa final'!#REF!="Leve"),CONCATENATE("R",'Mapa final'!#REF!),"")</f>
        <v>#REF!</v>
      </c>
      <c r="O6" s="277"/>
      <c r="P6" s="274" t="e">
        <f>IF(AND('Mapa final'!#REF!="Muy Alta",'Mapa final'!#REF!="Menor"),CONCATENATE("R",'Mapa final'!#REF!),"")</f>
        <v>#REF!</v>
      </c>
      <c r="Q6" s="275"/>
      <c r="R6" s="275" t="str">
        <f>IF(AND('Mapa final'!$L$11="Muy Alta",'Mapa final'!$P$11="Menor"),CONCATENATE("R",'Mapa final'!$A$11),"")</f>
        <v/>
      </c>
      <c r="S6" s="275"/>
      <c r="T6" s="275" t="e">
        <f>IF(AND('Mapa final'!#REF!="Muy Alta",'Mapa final'!#REF!="Menor"),CONCATENATE("R",'Mapa final'!#REF!),"")</f>
        <v>#REF!</v>
      </c>
      <c r="U6" s="277"/>
      <c r="V6" s="274" t="e">
        <f>IF(AND('Mapa final'!#REF!="Muy Alta",'Mapa final'!#REF!="Moderado"),CONCATENATE("R",'Mapa final'!#REF!),"")</f>
        <v>#REF!</v>
      </c>
      <c r="W6" s="275"/>
      <c r="X6" s="275" t="str">
        <f>IF(AND('Mapa final'!$L$11="Muy Alta",'Mapa final'!$P$11="Moderado"),CONCATENATE("R",'Mapa final'!$A$11),"")</f>
        <v/>
      </c>
      <c r="Y6" s="275"/>
      <c r="Z6" s="275" t="e">
        <f>IF(AND('Mapa final'!#REF!="Muy Alta",'Mapa final'!#REF!="Moderado"),CONCATENATE("R",'Mapa final'!#REF!),"")</f>
        <v>#REF!</v>
      </c>
      <c r="AA6" s="277"/>
      <c r="AB6" s="274" t="e">
        <f>IF(AND('Mapa final'!#REF!="Muy Alta",'Mapa final'!#REF!="Mayor"),CONCATENATE("R",'Mapa final'!#REF!),"")</f>
        <v>#REF!</v>
      </c>
      <c r="AC6" s="275"/>
      <c r="AD6" s="275" t="str">
        <f>IF(AND('Mapa final'!$L$11="Muy Alta",'Mapa final'!$P$11="Mayor"),CONCATENATE("R",'Mapa final'!$A$11),"")</f>
        <v/>
      </c>
      <c r="AE6" s="275"/>
      <c r="AF6" s="275" t="e">
        <f>IF(AND('Mapa final'!#REF!="Muy Alta",'Mapa final'!#REF!="Mayor"),CONCATENATE("R",'Mapa final'!#REF!),"")</f>
        <v>#REF!</v>
      </c>
      <c r="AG6" s="277"/>
      <c r="AH6" s="289" t="e">
        <f>IF(AND('Mapa final'!#REF!="Muy Alta",'Mapa final'!#REF!="Catastrófico"),CONCATENATE("R",'Mapa final'!#REF!),"")</f>
        <v>#REF!</v>
      </c>
      <c r="AI6" s="290"/>
      <c r="AJ6" s="290" t="str">
        <f>IF(AND('Mapa final'!$L$11="Muy Alta",'Mapa final'!$P$11="Catastrófico"),CONCATENATE("R",'Mapa final'!$A$11),"")</f>
        <v/>
      </c>
      <c r="AK6" s="290"/>
      <c r="AL6" s="290" t="e">
        <f>IF(AND('Mapa final'!#REF!="Muy Alta",'Mapa final'!#REF!="Catastrófico"),CONCATENATE("R",'Mapa final'!#REF!),"")</f>
        <v>#REF!</v>
      </c>
      <c r="AM6" s="291"/>
      <c r="AO6" s="227" t="s">
        <v>78</v>
      </c>
      <c r="AP6" s="228"/>
      <c r="AQ6" s="228"/>
      <c r="AR6" s="228"/>
      <c r="AS6" s="228"/>
      <c r="AT6" s="229"/>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225"/>
      <c r="C7" s="225"/>
      <c r="D7" s="226"/>
      <c r="E7" s="266"/>
      <c r="F7" s="267"/>
      <c r="G7" s="267"/>
      <c r="H7" s="267"/>
      <c r="I7" s="268"/>
      <c r="J7" s="276"/>
      <c r="K7" s="272"/>
      <c r="L7" s="272"/>
      <c r="M7" s="272"/>
      <c r="N7" s="272"/>
      <c r="O7" s="273"/>
      <c r="P7" s="276"/>
      <c r="Q7" s="272"/>
      <c r="R7" s="272"/>
      <c r="S7" s="272"/>
      <c r="T7" s="272"/>
      <c r="U7" s="273"/>
      <c r="V7" s="276"/>
      <c r="W7" s="272"/>
      <c r="X7" s="272"/>
      <c r="Y7" s="272"/>
      <c r="Z7" s="272"/>
      <c r="AA7" s="273"/>
      <c r="AB7" s="276"/>
      <c r="AC7" s="272"/>
      <c r="AD7" s="272"/>
      <c r="AE7" s="272"/>
      <c r="AF7" s="272"/>
      <c r="AG7" s="273"/>
      <c r="AH7" s="283"/>
      <c r="AI7" s="284"/>
      <c r="AJ7" s="284"/>
      <c r="AK7" s="284"/>
      <c r="AL7" s="284"/>
      <c r="AM7" s="285"/>
      <c r="AN7" s="75"/>
      <c r="AO7" s="230"/>
      <c r="AP7" s="231"/>
      <c r="AQ7" s="231"/>
      <c r="AR7" s="231"/>
      <c r="AS7" s="231"/>
      <c r="AT7" s="232"/>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225"/>
      <c r="C8" s="225"/>
      <c r="D8" s="226"/>
      <c r="E8" s="266"/>
      <c r="F8" s="267"/>
      <c r="G8" s="267"/>
      <c r="H8" s="267"/>
      <c r="I8" s="268"/>
      <c r="J8" s="276" t="e">
        <f>IF(AND('Mapa final'!#REF!="Muy Alta",'Mapa final'!#REF!="Leve"),CONCATENATE("R",'Mapa final'!#REF!),"")</f>
        <v>#REF!</v>
      </c>
      <c r="K8" s="272"/>
      <c r="L8" s="272" t="e">
        <f>IF(AND('Mapa final'!#REF!="Muy Alta",'Mapa final'!#REF!="Leve"),CONCATENATE("R",'Mapa final'!#REF!),"")</f>
        <v>#REF!</v>
      </c>
      <c r="M8" s="272"/>
      <c r="N8" s="272" t="e">
        <f>IF(AND('Mapa final'!#REF!="Muy Alta",'Mapa final'!#REF!="Leve"),CONCATENATE("R",'Mapa final'!#REF!),"")</f>
        <v>#REF!</v>
      </c>
      <c r="O8" s="273"/>
      <c r="P8" s="276" t="e">
        <f>IF(AND('Mapa final'!#REF!="Muy Alta",'Mapa final'!#REF!="Menor"),CONCATENATE("R",'Mapa final'!#REF!),"")</f>
        <v>#REF!</v>
      </c>
      <c r="Q8" s="272"/>
      <c r="R8" s="272" t="e">
        <f>IF(AND('Mapa final'!#REF!="Muy Alta",'Mapa final'!#REF!="Menor"),CONCATENATE("R",'Mapa final'!#REF!),"")</f>
        <v>#REF!</v>
      </c>
      <c r="S8" s="272"/>
      <c r="T8" s="272" t="e">
        <f>IF(AND('Mapa final'!#REF!="Muy Alta",'Mapa final'!#REF!="Menor"),CONCATENATE("R",'Mapa final'!#REF!),"")</f>
        <v>#REF!</v>
      </c>
      <c r="U8" s="273"/>
      <c r="V8" s="276" t="e">
        <f>IF(AND('Mapa final'!#REF!="Muy Alta",'Mapa final'!#REF!="Moderado"),CONCATENATE("R",'Mapa final'!#REF!),"")</f>
        <v>#REF!</v>
      </c>
      <c r="W8" s="272"/>
      <c r="X8" s="272" t="e">
        <f>IF(AND('Mapa final'!#REF!="Muy Alta",'Mapa final'!#REF!="Moderado"),CONCATENATE("R",'Mapa final'!#REF!),"")</f>
        <v>#REF!</v>
      </c>
      <c r="Y8" s="272"/>
      <c r="Z8" s="272" t="e">
        <f>IF(AND('Mapa final'!#REF!="Muy Alta",'Mapa final'!#REF!="Moderado"),CONCATENATE("R",'Mapa final'!#REF!),"")</f>
        <v>#REF!</v>
      </c>
      <c r="AA8" s="273"/>
      <c r="AB8" s="276" t="e">
        <f>IF(AND('Mapa final'!#REF!="Muy Alta",'Mapa final'!#REF!="Mayor"),CONCATENATE("R",'Mapa final'!#REF!),"")</f>
        <v>#REF!</v>
      </c>
      <c r="AC8" s="272"/>
      <c r="AD8" s="272" t="e">
        <f>IF(AND('Mapa final'!#REF!="Muy Alta",'Mapa final'!#REF!="Mayor"),CONCATENATE("R",'Mapa final'!#REF!),"")</f>
        <v>#REF!</v>
      </c>
      <c r="AE8" s="272"/>
      <c r="AF8" s="272" t="e">
        <f>IF(AND('Mapa final'!#REF!="Muy Alta",'Mapa final'!#REF!="Mayor"),CONCATENATE("R",'Mapa final'!#REF!),"")</f>
        <v>#REF!</v>
      </c>
      <c r="AG8" s="273"/>
      <c r="AH8" s="283" t="e">
        <f>IF(AND('Mapa final'!#REF!="Muy Alta",'Mapa final'!#REF!="Catastrófico"),CONCATENATE("R",'Mapa final'!#REF!),"")</f>
        <v>#REF!</v>
      </c>
      <c r="AI8" s="284"/>
      <c r="AJ8" s="284" t="e">
        <f>IF(AND('Mapa final'!#REF!="Muy Alta",'Mapa final'!#REF!="Catastrófico"),CONCATENATE("R",'Mapa final'!#REF!),"")</f>
        <v>#REF!</v>
      </c>
      <c r="AK8" s="284"/>
      <c r="AL8" s="284" t="e">
        <f>IF(AND('Mapa final'!#REF!="Muy Alta",'Mapa final'!#REF!="Catastrófico"),CONCATENATE("R",'Mapa final'!#REF!),"")</f>
        <v>#REF!</v>
      </c>
      <c r="AM8" s="285"/>
      <c r="AN8" s="75"/>
      <c r="AO8" s="230"/>
      <c r="AP8" s="231"/>
      <c r="AQ8" s="231"/>
      <c r="AR8" s="231"/>
      <c r="AS8" s="231"/>
      <c r="AT8" s="232"/>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225"/>
      <c r="C9" s="225"/>
      <c r="D9" s="226"/>
      <c r="E9" s="266"/>
      <c r="F9" s="267"/>
      <c r="G9" s="267"/>
      <c r="H9" s="267"/>
      <c r="I9" s="268"/>
      <c r="J9" s="276"/>
      <c r="K9" s="272"/>
      <c r="L9" s="272"/>
      <c r="M9" s="272"/>
      <c r="N9" s="272"/>
      <c r="O9" s="273"/>
      <c r="P9" s="276"/>
      <c r="Q9" s="272"/>
      <c r="R9" s="272"/>
      <c r="S9" s="272"/>
      <c r="T9" s="272"/>
      <c r="U9" s="273"/>
      <c r="V9" s="276"/>
      <c r="W9" s="272"/>
      <c r="X9" s="272"/>
      <c r="Y9" s="272"/>
      <c r="Z9" s="272"/>
      <c r="AA9" s="273"/>
      <c r="AB9" s="276"/>
      <c r="AC9" s="272"/>
      <c r="AD9" s="272"/>
      <c r="AE9" s="272"/>
      <c r="AF9" s="272"/>
      <c r="AG9" s="273"/>
      <c r="AH9" s="283"/>
      <c r="AI9" s="284"/>
      <c r="AJ9" s="284"/>
      <c r="AK9" s="284"/>
      <c r="AL9" s="284"/>
      <c r="AM9" s="285"/>
      <c r="AN9" s="75"/>
      <c r="AO9" s="230"/>
      <c r="AP9" s="231"/>
      <c r="AQ9" s="231"/>
      <c r="AR9" s="231"/>
      <c r="AS9" s="231"/>
      <c r="AT9" s="232"/>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225"/>
      <c r="C10" s="225"/>
      <c r="D10" s="226"/>
      <c r="E10" s="266"/>
      <c r="F10" s="267"/>
      <c r="G10" s="267"/>
      <c r="H10" s="267"/>
      <c r="I10" s="268"/>
      <c r="J10" s="276" t="e">
        <f>IF(AND('Mapa final'!#REF!="Muy Alta",'Mapa final'!#REF!="Leve"),CONCATENATE("R",'Mapa final'!#REF!),"")</f>
        <v>#REF!</v>
      </c>
      <c r="K10" s="272"/>
      <c r="L10" s="272" t="e">
        <f>IF(AND('Mapa final'!#REF!="Muy Alta",'Mapa final'!#REF!="Leve"),CONCATENATE("R",'Mapa final'!#REF!),"")</f>
        <v>#REF!</v>
      </c>
      <c r="M10" s="272"/>
      <c r="N10" s="272" t="e">
        <f>IF(AND('Mapa final'!#REF!="Muy Alta",'Mapa final'!#REF!="Leve"),CONCATENATE("R",'Mapa final'!#REF!),"")</f>
        <v>#REF!</v>
      </c>
      <c r="O10" s="273"/>
      <c r="P10" s="276" t="e">
        <f>IF(AND('Mapa final'!#REF!="Muy Alta",'Mapa final'!#REF!="Menor"),CONCATENATE("R",'Mapa final'!#REF!),"")</f>
        <v>#REF!</v>
      </c>
      <c r="Q10" s="272"/>
      <c r="R10" s="272" t="e">
        <f>IF(AND('Mapa final'!#REF!="Muy Alta",'Mapa final'!#REF!="Menor"),CONCATENATE("R",'Mapa final'!#REF!),"")</f>
        <v>#REF!</v>
      </c>
      <c r="S10" s="272"/>
      <c r="T10" s="272" t="e">
        <f>IF(AND('Mapa final'!#REF!="Muy Alta",'Mapa final'!#REF!="Menor"),CONCATENATE("R",'Mapa final'!#REF!),"")</f>
        <v>#REF!</v>
      </c>
      <c r="U10" s="273"/>
      <c r="V10" s="276" t="e">
        <f>IF(AND('Mapa final'!#REF!="Muy Alta",'Mapa final'!#REF!="Moderado"),CONCATENATE("R",'Mapa final'!#REF!),"")</f>
        <v>#REF!</v>
      </c>
      <c r="W10" s="272"/>
      <c r="X10" s="272" t="e">
        <f>IF(AND('Mapa final'!#REF!="Muy Alta",'Mapa final'!#REF!="Moderado"),CONCATENATE("R",'Mapa final'!#REF!),"")</f>
        <v>#REF!</v>
      </c>
      <c r="Y10" s="272"/>
      <c r="Z10" s="272" t="e">
        <f>IF(AND('Mapa final'!#REF!="Muy Alta",'Mapa final'!#REF!="Moderado"),CONCATENATE("R",'Mapa final'!#REF!),"")</f>
        <v>#REF!</v>
      </c>
      <c r="AA10" s="273"/>
      <c r="AB10" s="276" t="e">
        <f>IF(AND('Mapa final'!#REF!="Muy Alta",'Mapa final'!#REF!="Mayor"),CONCATENATE("R",'Mapa final'!#REF!),"")</f>
        <v>#REF!</v>
      </c>
      <c r="AC10" s="272"/>
      <c r="AD10" s="272" t="e">
        <f>IF(AND('Mapa final'!#REF!="Muy Alta",'Mapa final'!#REF!="Mayor"),CONCATENATE("R",'Mapa final'!#REF!),"")</f>
        <v>#REF!</v>
      </c>
      <c r="AE10" s="272"/>
      <c r="AF10" s="272" t="e">
        <f>IF(AND('Mapa final'!#REF!="Muy Alta",'Mapa final'!#REF!="Mayor"),CONCATENATE("R",'Mapa final'!#REF!),"")</f>
        <v>#REF!</v>
      </c>
      <c r="AG10" s="273"/>
      <c r="AH10" s="283" t="e">
        <f>IF(AND('Mapa final'!#REF!="Muy Alta",'Mapa final'!#REF!="Catastrófico"),CONCATENATE("R",'Mapa final'!#REF!),"")</f>
        <v>#REF!</v>
      </c>
      <c r="AI10" s="284"/>
      <c r="AJ10" s="284" t="e">
        <f>IF(AND('Mapa final'!#REF!="Muy Alta",'Mapa final'!#REF!="Catastrófico"),CONCATENATE("R",'Mapa final'!#REF!),"")</f>
        <v>#REF!</v>
      </c>
      <c r="AK10" s="284"/>
      <c r="AL10" s="284" t="e">
        <f>IF(AND('Mapa final'!#REF!="Muy Alta",'Mapa final'!#REF!="Catastrófico"),CONCATENATE("R",'Mapa final'!#REF!),"")</f>
        <v>#REF!</v>
      </c>
      <c r="AM10" s="285"/>
      <c r="AN10" s="75"/>
      <c r="AO10" s="230"/>
      <c r="AP10" s="231"/>
      <c r="AQ10" s="231"/>
      <c r="AR10" s="231"/>
      <c r="AS10" s="231"/>
      <c r="AT10" s="232"/>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225"/>
      <c r="C11" s="225"/>
      <c r="D11" s="226"/>
      <c r="E11" s="266"/>
      <c r="F11" s="267"/>
      <c r="G11" s="267"/>
      <c r="H11" s="267"/>
      <c r="I11" s="268"/>
      <c r="J11" s="276"/>
      <c r="K11" s="272"/>
      <c r="L11" s="272"/>
      <c r="M11" s="272"/>
      <c r="N11" s="272"/>
      <c r="O11" s="273"/>
      <c r="P11" s="276"/>
      <c r="Q11" s="272"/>
      <c r="R11" s="272"/>
      <c r="S11" s="272"/>
      <c r="T11" s="272"/>
      <c r="U11" s="273"/>
      <c r="V11" s="276"/>
      <c r="W11" s="272"/>
      <c r="X11" s="272"/>
      <c r="Y11" s="272"/>
      <c r="Z11" s="272"/>
      <c r="AA11" s="273"/>
      <c r="AB11" s="276"/>
      <c r="AC11" s="272"/>
      <c r="AD11" s="272"/>
      <c r="AE11" s="272"/>
      <c r="AF11" s="272"/>
      <c r="AG11" s="273"/>
      <c r="AH11" s="283"/>
      <c r="AI11" s="284"/>
      <c r="AJ11" s="284"/>
      <c r="AK11" s="284"/>
      <c r="AL11" s="284"/>
      <c r="AM11" s="285"/>
      <c r="AN11" s="75"/>
      <c r="AO11" s="230"/>
      <c r="AP11" s="231"/>
      <c r="AQ11" s="231"/>
      <c r="AR11" s="231"/>
      <c r="AS11" s="231"/>
      <c r="AT11" s="232"/>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225"/>
      <c r="C12" s="225"/>
      <c r="D12" s="226"/>
      <c r="E12" s="266"/>
      <c r="F12" s="267"/>
      <c r="G12" s="267"/>
      <c r="H12" s="267"/>
      <c r="I12" s="268"/>
      <c r="J12" s="276" t="e">
        <f>IF(AND('Mapa final'!#REF!="Muy Alta",'Mapa final'!#REF!="Leve"),CONCATENATE("R",'Mapa final'!#REF!),"")</f>
        <v>#REF!</v>
      </c>
      <c r="K12" s="272"/>
      <c r="L12" s="272" t="str">
        <f>IF(AND('Mapa final'!$L$16="Muy Alta",'Mapa final'!$P$16="Leve"),CONCATENATE("R",'Mapa final'!$A$16),"")</f>
        <v/>
      </c>
      <c r="M12" s="272"/>
      <c r="N12" s="272" t="str">
        <f>IF(AND('Mapa final'!$L$18="Muy Alta",'Mapa final'!$P$18="Leve"),CONCATENATE("R",'Mapa final'!$A$18),"")</f>
        <v/>
      </c>
      <c r="O12" s="273"/>
      <c r="P12" s="276" t="e">
        <f>IF(AND('Mapa final'!#REF!="Muy Alta",'Mapa final'!#REF!="Menor"),CONCATENATE("R",'Mapa final'!#REF!),"")</f>
        <v>#REF!</v>
      </c>
      <c r="Q12" s="272"/>
      <c r="R12" s="272" t="str">
        <f>IF(AND('Mapa final'!$L$16="Muy Alta",'Mapa final'!$P$16="Menor"),CONCATENATE("R",'Mapa final'!$A$16),"")</f>
        <v/>
      </c>
      <c r="S12" s="272"/>
      <c r="T12" s="272" t="str">
        <f>IF(AND('Mapa final'!$L$18="Muy Alta",'Mapa final'!$P$18="Menor"),CONCATENATE("R",'Mapa final'!$A$18),"")</f>
        <v/>
      </c>
      <c r="U12" s="273"/>
      <c r="V12" s="276" t="e">
        <f>IF(AND('Mapa final'!#REF!="Muy Alta",'Mapa final'!#REF!="Moderado"),CONCATENATE("R",'Mapa final'!#REF!),"")</f>
        <v>#REF!</v>
      </c>
      <c r="W12" s="272"/>
      <c r="X12" s="272" t="str">
        <f>IF(AND('Mapa final'!$L$16="Muy Alta",'Mapa final'!$P$16="Moderado"),CONCATENATE("R",'Mapa final'!$A$16),"")</f>
        <v/>
      </c>
      <c r="Y12" s="272"/>
      <c r="Z12" s="272" t="str">
        <f>IF(AND('Mapa final'!$L$18="Muy Alta",'Mapa final'!$P$18="Moderado"),CONCATENATE("R",'Mapa final'!$A$18),"")</f>
        <v/>
      </c>
      <c r="AA12" s="273"/>
      <c r="AB12" s="276" t="e">
        <f>IF(AND('Mapa final'!#REF!="Muy Alta",'Mapa final'!#REF!="Mayor"),CONCATENATE("R",'Mapa final'!#REF!),"")</f>
        <v>#REF!</v>
      </c>
      <c r="AC12" s="272"/>
      <c r="AD12" s="272" t="str">
        <f>IF(AND('Mapa final'!$L$16="Muy Alta",'Mapa final'!$P$16="Mayor"),CONCATENATE("R",'Mapa final'!$A$16),"")</f>
        <v/>
      </c>
      <c r="AE12" s="272"/>
      <c r="AF12" s="272" t="str">
        <f>IF(AND('Mapa final'!$L$18="Muy Alta",'Mapa final'!$P$18="Mayor"),CONCATENATE("R",'Mapa final'!$A$18),"")</f>
        <v/>
      </c>
      <c r="AG12" s="273"/>
      <c r="AH12" s="283" t="e">
        <f>IF(AND('Mapa final'!#REF!="Muy Alta",'Mapa final'!#REF!="Catastrófico"),CONCATENATE("R",'Mapa final'!#REF!),"")</f>
        <v>#REF!</v>
      </c>
      <c r="AI12" s="284"/>
      <c r="AJ12" s="284" t="str">
        <f>IF(AND('Mapa final'!$L$16="Muy Alta",'Mapa final'!$P$16="Catastrófico"),CONCATENATE("R",'Mapa final'!$A$16),"")</f>
        <v/>
      </c>
      <c r="AK12" s="284"/>
      <c r="AL12" s="284" t="str">
        <f>IF(AND('Mapa final'!$L$18="Muy Alta",'Mapa final'!$P$18="Catastrófico"),CONCATENATE("R",'Mapa final'!$A$18),"")</f>
        <v/>
      </c>
      <c r="AM12" s="285"/>
      <c r="AN12" s="75"/>
      <c r="AO12" s="230"/>
      <c r="AP12" s="231"/>
      <c r="AQ12" s="231"/>
      <c r="AR12" s="231"/>
      <c r="AS12" s="231"/>
      <c r="AT12" s="232"/>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225"/>
      <c r="C13" s="225"/>
      <c r="D13" s="226"/>
      <c r="E13" s="269"/>
      <c r="F13" s="270"/>
      <c r="G13" s="270"/>
      <c r="H13" s="270"/>
      <c r="I13" s="271"/>
      <c r="J13" s="276"/>
      <c r="K13" s="272"/>
      <c r="L13" s="272"/>
      <c r="M13" s="272"/>
      <c r="N13" s="272"/>
      <c r="O13" s="273"/>
      <c r="P13" s="276"/>
      <c r="Q13" s="272"/>
      <c r="R13" s="272"/>
      <c r="S13" s="272"/>
      <c r="T13" s="272"/>
      <c r="U13" s="273"/>
      <c r="V13" s="276"/>
      <c r="W13" s="272"/>
      <c r="X13" s="272"/>
      <c r="Y13" s="272"/>
      <c r="Z13" s="272"/>
      <c r="AA13" s="273"/>
      <c r="AB13" s="276"/>
      <c r="AC13" s="272"/>
      <c r="AD13" s="272"/>
      <c r="AE13" s="272"/>
      <c r="AF13" s="272"/>
      <c r="AG13" s="273"/>
      <c r="AH13" s="286"/>
      <c r="AI13" s="287"/>
      <c r="AJ13" s="287"/>
      <c r="AK13" s="287"/>
      <c r="AL13" s="287"/>
      <c r="AM13" s="288"/>
      <c r="AN13" s="75"/>
      <c r="AO13" s="233"/>
      <c r="AP13" s="234"/>
      <c r="AQ13" s="234"/>
      <c r="AR13" s="234"/>
      <c r="AS13" s="234"/>
      <c r="AT13" s="23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225"/>
      <c r="C14" s="225"/>
      <c r="D14" s="226"/>
      <c r="E14" s="263" t="s">
        <v>114</v>
      </c>
      <c r="F14" s="264"/>
      <c r="G14" s="264"/>
      <c r="H14" s="264"/>
      <c r="I14" s="264"/>
      <c r="J14" s="298" t="e">
        <f>IF(AND('Mapa final'!#REF!="Alta",'Mapa final'!#REF!="Leve"),CONCATENATE("R",'Mapa final'!#REF!),"")</f>
        <v>#REF!</v>
      </c>
      <c r="K14" s="299"/>
      <c r="L14" s="299" t="str">
        <f>IF(AND('Mapa final'!$L$11="Alta",'Mapa final'!$P$11="Leve"),CONCATENATE("R",'Mapa final'!$A$11),"")</f>
        <v/>
      </c>
      <c r="M14" s="299"/>
      <c r="N14" s="299" t="e">
        <f>IF(AND('Mapa final'!#REF!="Alta",'Mapa final'!#REF!="Leve"),CONCATENATE("R",'Mapa final'!#REF!),"")</f>
        <v>#REF!</v>
      </c>
      <c r="O14" s="300"/>
      <c r="P14" s="298" t="e">
        <f>IF(AND('Mapa final'!#REF!="Alta",'Mapa final'!#REF!="Menor"),CONCATENATE("R",'Mapa final'!#REF!),"")</f>
        <v>#REF!</v>
      </c>
      <c r="Q14" s="299"/>
      <c r="R14" s="299" t="str">
        <f>IF(AND('Mapa final'!$L$11="Alta",'Mapa final'!$P$11="Menor"),CONCATENATE("R",'Mapa final'!$A$11),"")</f>
        <v/>
      </c>
      <c r="S14" s="299"/>
      <c r="T14" s="299" t="e">
        <f>IF(AND('Mapa final'!#REF!="Alta",'Mapa final'!#REF!="Menor"),CONCATENATE("R",'Mapa final'!#REF!),"")</f>
        <v>#REF!</v>
      </c>
      <c r="U14" s="300"/>
      <c r="V14" s="274" t="e">
        <f>IF(AND('Mapa final'!#REF!="Alta",'Mapa final'!#REF!="Moderado"),CONCATENATE("R",'Mapa final'!#REF!),"")</f>
        <v>#REF!</v>
      </c>
      <c r="W14" s="275"/>
      <c r="X14" s="275" t="str">
        <f>IF(AND('Mapa final'!$L$11="Alta",'Mapa final'!$P$11="Moderado"),CONCATENATE("R",'Mapa final'!$A$11),"")</f>
        <v/>
      </c>
      <c r="Y14" s="275"/>
      <c r="Z14" s="275" t="e">
        <f>IF(AND('Mapa final'!#REF!="Alta",'Mapa final'!#REF!="Moderado"),CONCATENATE("R",'Mapa final'!#REF!),"")</f>
        <v>#REF!</v>
      </c>
      <c r="AA14" s="277"/>
      <c r="AB14" s="274" t="e">
        <f>IF(AND('Mapa final'!#REF!="Alta",'Mapa final'!#REF!="Mayor"),CONCATENATE("R",'Mapa final'!#REF!),"")</f>
        <v>#REF!</v>
      </c>
      <c r="AC14" s="275"/>
      <c r="AD14" s="275" t="str">
        <f>IF(AND('Mapa final'!$L$11="Alta",'Mapa final'!$P$11="Mayor"),CONCATENATE("R",'Mapa final'!$A$11),"")</f>
        <v/>
      </c>
      <c r="AE14" s="275"/>
      <c r="AF14" s="275" t="e">
        <f>IF(AND('Mapa final'!#REF!="Alta",'Mapa final'!#REF!="Mayor"),CONCATENATE("R",'Mapa final'!#REF!),"")</f>
        <v>#REF!</v>
      </c>
      <c r="AG14" s="277"/>
      <c r="AH14" s="289" t="e">
        <f>IF(AND('Mapa final'!#REF!="Alta",'Mapa final'!#REF!="Catastrófico"),CONCATENATE("R",'Mapa final'!#REF!),"")</f>
        <v>#REF!</v>
      </c>
      <c r="AI14" s="290"/>
      <c r="AJ14" s="290" t="str">
        <f>IF(AND('Mapa final'!$L$11="Alta",'Mapa final'!$P$11="Catastrófico"),CONCATENATE("R",'Mapa final'!$A$11),"")</f>
        <v/>
      </c>
      <c r="AK14" s="290"/>
      <c r="AL14" s="290" t="e">
        <f>IF(AND('Mapa final'!#REF!="Alta",'Mapa final'!#REF!="Catastrófico"),CONCATENATE("R",'Mapa final'!#REF!),"")</f>
        <v>#REF!</v>
      </c>
      <c r="AM14" s="291"/>
      <c r="AN14" s="75"/>
      <c r="AO14" s="236" t="s">
        <v>79</v>
      </c>
      <c r="AP14" s="237"/>
      <c r="AQ14" s="237"/>
      <c r="AR14" s="237"/>
      <c r="AS14" s="237"/>
      <c r="AT14" s="238"/>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225"/>
      <c r="C15" s="225"/>
      <c r="D15" s="226"/>
      <c r="E15" s="266"/>
      <c r="F15" s="267"/>
      <c r="G15" s="267"/>
      <c r="H15" s="267"/>
      <c r="I15" s="267"/>
      <c r="J15" s="292"/>
      <c r="K15" s="293"/>
      <c r="L15" s="293"/>
      <c r="M15" s="293"/>
      <c r="N15" s="293"/>
      <c r="O15" s="294"/>
      <c r="P15" s="292"/>
      <c r="Q15" s="293"/>
      <c r="R15" s="293"/>
      <c r="S15" s="293"/>
      <c r="T15" s="293"/>
      <c r="U15" s="294"/>
      <c r="V15" s="276"/>
      <c r="W15" s="272"/>
      <c r="X15" s="272"/>
      <c r="Y15" s="272"/>
      <c r="Z15" s="272"/>
      <c r="AA15" s="273"/>
      <c r="AB15" s="276"/>
      <c r="AC15" s="272"/>
      <c r="AD15" s="272"/>
      <c r="AE15" s="272"/>
      <c r="AF15" s="272"/>
      <c r="AG15" s="273"/>
      <c r="AH15" s="283"/>
      <c r="AI15" s="284"/>
      <c r="AJ15" s="284"/>
      <c r="AK15" s="284"/>
      <c r="AL15" s="284"/>
      <c r="AM15" s="285"/>
      <c r="AN15" s="75"/>
      <c r="AO15" s="239"/>
      <c r="AP15" s="240"/>
      <c r="AQ15" s="240"/>
      <c r="AR15" s="240"/>
      <c r="AS15" s="240"/>
      <c r="AT15" s="241"/>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225"/>
      <c r="C16" s="225"/>
      <c r="D16" s="226"/>
      <c r="E16" s="266"/>
      <c r="F16" s="267"/>
      <c r="G16" s="267"/>
      <c r="H16" s="267"/>
      <c r="I16" s="267"/>
      <c r="J16" s="292" t="e">
        <f>IF(AND('Mapa final'!#REF!="Alta",'Mapa final'!#REF!="Leve"),CONCATENATE("R",'Mapa final'!#REF!),"")</f>
        <v>#REF!</v>
      </c>
      <c r="K16" s="293"/>
      <c r="L16" s="293" t="e">
        <f>IF(AND('Mapa final'!#REF!="Alta",'Mapa final'!#REF!="Leve"),CONCATENATE("R",'Mapa final'!#REF!),"")</f>
        <v>#REF!</v>
      </c>
      <c r="M16" s="293"/>
      <c r="N16" s="293" t="e">
        <f>IF(AND('Mapa final'!#REF!="Alta",'Mapa final'!#REF!="Leve"),CONCATENATE("R",'Mapa final'!#REF!),"")</f>
        <v>#REF!</v>
      </c>
      <c r="O16" s="294"/>
      <c r="P16" s="292" t="e">
        <f>IF(AND('Mapa final'!#REF!="Alta",'Mapa final'!#REF!="Menor"),CONCATENATE("R",'Mapa final'!#REF!),"")</f>
        <v>#REF!</v>
      </c>
      <c r="Q16" s="293"/>
      <c r="R16" s="293" t="e">
        <f>IF(AND('Mapa final'!#REF!="Alta",'Mapa final'!#REF!="Menor"),CONCATENATE("R",'Mapa final'!#REF!),"")</f>
        <v>#REF!</v>
      </c>
      <c r="S16" s="293"/>
      <c r="T16" s="293" t="e">
        <f>IF(AND('Mapa final'!#REF!="Alta",'Mapa final'!#REF!="Menor"),CONCATENATE("R",'Mapa final'!#REF!),"")</f>
        <v>#REF!</v>
      </c>
      <c r="U16" s="294"/>
      <c r="V16" s="276" t="e">
        <f>IF(AND('Mapa final'!#REF!="Alta",'Mapa final'!#REF!="Moderado"),CONCATENATE("R",'Mapa final'!#REF!),"")</f>
        <v>#REF!</v>
      </c>
      <c r="W16" s="272"/>
      <c r="X16" s="272" t="e">
        <f>IF(AND('Mapa final'!#REF!="Alta",'Mapa final'!#REF!="Moderado"),CONCATENATE("R",'Mapa final'!#REF!),"")</f>
        <v>#REF!</v>
      </c>
      <c r="Y16" s="272"/>
      <c r="Z16" s="272" t="e">
        <f>IF(AND('Mapa final'!#REF!="Alta",'Mapa final'!#REF!="Moderado"),CONCATENATE("R",'Mapa final'!#REF!),"")</f>
        <v>#REF!</v>
      </c>
      <c r="AA16" s="273"/>
      <c r="AB16" s="276" t="e">
        <f>IF(AND('Mapa final'!#REF!="Alta",'Mapa final'!#REF!="Mayor"),CONCATENATE("R",'Mapa final'!#REF!),"")</f>
        <v>#REF!</v>
      </c>
      <c r="AC16" s="272"/>
      <c r="AD16" s="272" t="e">
        <f>IF(AND('Mapa final'!#REF!="Alta",'Mapa final'!#REF!="Mayor"),CONCATENATE("R",'Mapa final'!#REF!),"")</f>
        <v>#REF!</v>
      </c>
      <c r="AE16" s="272"/>
      <c r="AF16" s="272" t="e">
        <f>IF(AND('Mapa final'!#REF!="Alta",'Mapa final'!#REF!="Mayor"),CONCATENATE("R",'Mapa final'!#REF!),"")</f>
        <v>#REF!</v>
      </c>
      <c r="AG16" s="273"/>
      <c r="AH16" s="283" t="e">
        <f>IF(AND('Mapa final'!#REF!="Alta",'Mapa final'!#REF!="Catastrófico"),CONCATENATE("R",'Mapa final'!#REF!),"")</f>
        <v>#REF!</v>
      </c>
      <c r="AI16" s="284"/>
      <c r="AJ16" s="284" t="e">
        <f>IF(AND('Mapa final'!#REF!="Alta",'Mapa final'!#REF!="Catastrófico"),CONCATENATE("R",'Mapa final'!#REF!),"")</f>
        <v>#REF!</v>
      </c>
      <c r="AK16" s="284"/>
      <c r="AL16" s="284" t="e">
        <f>IF(AND('Mapa final'!#REF!="Alta",'Mapa final'!#REF!="Catastrófico"),CONCATENATE("R",'Mapa final'!#REF!),"")</f>
        <v>#REF!</v>
      </c>
      <c r="AM16" s="285"/>
      <c r="AN16" s="75"/>
      <c r="AO16" s="239"/>
      <c r="AP16" s="240"/>
      <c r="AQ16" s="240"/>
      <c r="AR16" s="240"/>
      <c r="AS16" s="240"/>
      <c r="AT16" s="241"/>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225"/>
      <c r="C17" s="225"/>
      <c r="D17" s="226"/>
      <c r="E17" s="266"/>
      <c r="F17" s="267"/>
      <c r="G17" s="267"/>
      <c r="H17" s="267"/>
      <c r="I17" s="267"/>
      <c r="J17" s="292"/>
      <c r="K17" s="293"/>
      <c r="L17" s="293"/>
      <c r="M17" s="293"/>
      <c r="N17" s="293"/>
      <c r="O17" s="294"/>
      <c r="P17" s="292"/>
      <c r="Q17" s="293"/>
      <c r="R17" s="293"/>
      <c r="S17" s="293"/>
      <c r="T17" s="293"/>
      <c r="U17" s="294"/>
      <c r="V17" s="276"/>
      <c r="W17" s="272"/>
      <c r="X17" s="272"/>
      <c r="Y17" s="272"/>
      <c r="Z17" s="272"/>
      <c r="AA17" s="273"/>
      <c r="AB17" s="276"/>
      <c r="AC17" s="272"/>
      <c r="AD17" s="272"/>
      <c r="AE17" s="272"/>
      <c r="AF17" s="272"/>
      <c r="AG17" s="273"/>
      <c r="AH17" s="283"/>
      <c r="AI17" s="284"/>
      <c r="AJ17" s="284"/>
      <c r="AK17" s="284"/>
      <c r="AL17" s="284"/>
      <c r="AM17" s="285"/>
      <c r="AN17" s="75"/>
      <c r="AO17" s="239"/>
      <c r="AP17" s="240"/>
      <c r="AQ17" s="240"/>
      <c r="AR17" s="240"/>
      <c r="AS17" s="240"/>
      <c r="AT17" s="241"/>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225"/>
      <c r="C18" s="225"/>
      <c r="D18" s="226"/>
      <c r="E18" s="266"/>
      <c r="F18" s="267"/>
      <c r="G18" s="267"/>
      <c r="H18" s="267"/>
      <c r="I18" s="267"/>
      <c r="J18" s="292" t="e">
        <f>IF(AND('Mapa final'!#REF!="Alta",'Mapa final'!#REF!="Leve"),CONCATENATE("R",'Mapa final'!#REF!),"")</f>
        <v>#REF!</v>
      </c>
      <c r="K18" s="293"/>
      <c r="L18" s="293" t="e">
        <f>IF(AND('Mapa final'!#REF!="Alta",'Mapa final'!#REF!="Leve"),CONCATENATE("R",'Mapa final'!#REF!),"")</f>
        <v>#REF!</v>
      </c>
      <c r="M18" s="293"/>
      <c r="N18" s="293" t="e">
        <f>IF(AND('Mapa final'!#REF!="Alta",'Mapa final'!#REF!="Leve"),CONCATENATE("R",'Mapa final'!#REF!),"")</f>
        <v>#REF!</v>
      </c>
      <c r="O18" s="294"/>
      <c r="P18" s="292" t="e">
        <f>IF(AND('Mapa final'!#REF!="Alta",'Mapa final'!#REF!="Menor"),CONCATENATE("R",'Mapa final'!#REF!),"")</f>
        <v>#REF!</v>
      </c>
      <c r="Q18" s="293"/>
      <c r="R18" s="293" t="e">
        <f>IF(AND('Mapa final'!#REF!="Alta",'Mapa final'!#REF!="Menor"),CONCATENATE("R",'Mapa final'!#REF!),"")</f>
        <v>#REF!</v>
      </c>
      <c r="S18" s="293"/>
      <c r="T18" s="293" t="e">
        <f>IF(AND('Mapa final'!#REF!="Alta",'Mapa final'!#REF!="Menor"),CONCATENATE("R",'Mapa final'!#REF!),"")</f>
        <v>#REF!</v>
      </c>
      <c r="U18" s="294"/>
      <c r="V18" s="276" t="e">
        <f>IF(AND('Mapa final'!#REF!="Alta",'Mapa final'!#REF!="Moderado"),CONCATENATE("R",'Mapa final'!#REF!),"")</f>
        <v>#REF!</v>
      </c>
      <c r="W18" s="272"/>
      <c r="X18" s="272" t="e">
        <f>IF(AND('Mapa final'!#REF!="Alta",'Mapa final'!#REF!="Moderado"),CONCATENATE("R",'Mapa final'!#REF!),"")</f>
        <v>#REF!</v>
      </c>
      <c r="Y18" s="272"/>
      <c r="Z18" s="272" t="e">
        <f>IF(AND('Mapa final'!#REF!="Alta",'Mapa final'!#REF!="Moderado"),CONCATENATE("R",'Mapa final'!#REF!),"")</f>
        <v>#REF!</v>
      </c>
      <c r="AA18" s="273"/>
      <c r="AB18" s="276" t="e">
        <f>IF(AND('Mapa final'!#REF!="Alta",'Mapa final'!#REF!="Mayor"),CONCATENATE("R",'Mapa final'!#REF!),"")</f>
        <v>#REF!</v>
      </c>
      <c r="AC18" s="272"/>
      <c r="AD18" s="272" t="e">
        <f>IF(AND('Mapa final'!#REF!="Alta",'Mapa final'!#REF!="Mayor"),CONCATENATE("R",'Mapa final'!#REF!),"")</f>
        <v>#REF!</v>
      </c>
      <c r="AE18" s="272"/>
      <c r="AF18" s="272" t="e">
        <f>IF(AND('Mapa final'!#REF!="Alta",'Mapa final'!#REF!="Mayor"),CONCATENATE("R",'Mapa final'!#REF!),"")</f>
        <v>#REF!</v>
      </c>
      <c r="AG18" s="273"/>
      <c r="AH18" s="283" t="e">
        <f>IF(AND('Mapa final'!#REF!="Alta",'Mapa final'!#REF!="Catastrófico"),CONCATENATE("R",'Mapa final'!#REF!),"")</f>
        <v>#REF!</v>
      </c>
      <c r="AI18" s="284"/>
      <c r="AJ18" s="284" t="e">
        <f>IF(AND('Mapa final'!#REF!="Alta",'Mapa final'!#REF!="Catastrófico"),CONCATENATE("R",'Mapa final'!#REF!),"")</f>
        <v>#REF!</v>
      </c>
      <c r="AK18" s="284"/>
      <c r="AL18" s="284" t="e">
        <f>IF(AND('Mapa final'!#REF!="Alta",'Mapa final'!#REF!="Catastrófico"),CONCATENATE("R",'Mapa final'!#REF!),"")</f>
        <v>#REF!</v>
      </c>
      <c r="AM18" s="285"/>
      <c r="AN18" s="75"/>
      <c r="AO18" s="239"/>
      <c r="AP18" s="240"/>
      <c r="AQ18" s="240"/>
      <c r="AR18" s="240"/>
      <c r="AS18" s="240"/>
      <c r="AT18" s="241"/>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225"/>
      <c r="C19" s="225"/>
      <c r="D19" s="226"/>
      <c r="E19" s="266"/>
      <c r="F19" s="267"/>
      <c r="G19" s="267"/>
      <c r="H19" s="267"/>
      <c r="I19" s="267"/>
      <c r="J19" s="292"/>
      <c r="K19" s="293"/>
      <c r="L19" s="293"/>
      <c r="M19" s="293"/>
      <c r="N19" s="293"/>
      <c r="O19" s="294"/>
      <c r="P19" s="292"/>
      <c r="Q19" s="293"/>
      <c r="R19" s="293"/>
      <c r="S19" s="293"/>
      <c r="T19" s="293"/>
      <c r="U19" s="294"/>
      <c r="V19" s="276"/>
      <c r="W19" s="272"/>
      <c r="X19" s="272"/>
      <c r="Y19" s="272"/>
      <c r="Z19" s="272"/>
      <c r="AA19" s="273"/>
      <c r="AB19" s="276"/>
      <c r="AC19" s="272"/>
      <c r="AD19" s="272"/>
      <c r="AE19" s="272"/>
      <c r="AF19" s="272"/>
      <c r="AG19" s="273"/>
      <c r="AH19" s="283"/>
      <c r="AI19" s="284"/>
      <c r="AJ19" s="284"/>
      <c r="AK19" s="284"/>
      <c r="AL19" s="284"/>
      <c r="AM19" s="285"/>
      <c r="AN19" s="75"/>
      <c r="AO19" s="239"/>
      <c r="AP19" s="240"/>
      <c r="AQ19" s="240"/>
      <c r="AR19" s="240"/>
      <c r="AS19" s="240"/>
      <c r="AT19" s="241"/>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225"/>
      <c r="C20" s="225"/>
      <c r="D20" s="226"/>
      <c r="E20" s="266"/>
      <c r="F20" s="267"/>
      <c r="G20" s="267"/>
      <c r="H20" s="267"/>
      <c r="I20" s="267"/>
      <c r="J20" s="292" t="e">
        <f>IF(AND('Mapa final'!#REF!="Alta",'Mapa final'!#REF!="Leve"),CONCATENATE("R",'Mapa final'!#REF!),"")</f>
        <v>#REF!</v>
      </c>
      <c r="K20" s="293"/>
      <c r="L20" s="293" t="str">
        <f>IF(AND('Mapa final'!$L$16="Alta",'Mapa final'!$P$16="Leve"),CONCATENATE("R",'Mapa final'!$A$16),"")</f>
        <v/>
      </c>
      <c r="M20" s="293"/>
      <c r="N20" s="293" t="str">
        <f>IF(AND('Mapa final'!$L$18="Alta",'Mapa final'!$P$18="Leve"),CONCATENATE("R",'Mapa final'!$A$18),"")</f>
        <v/>
      </c>
      <c r="O20" s="294"/>
      <c r="P20" s="292" t="e">
        <f>IF(AND('Mapa final'!#REF!="Alta",'Mapa final'!#REF!="Menor"),CONCATENATE("R",'Mapa final'!#REF!),"")</f>
        <v>#REF!</v>
      </c>
      <c r="Q20" s="293"/>
      <c r="R20" s="293" t="str">
        <f>IF(AND('Mapa final'!$L$16="Alta",'Mapa final'!$P$16="Menor"),CONCATENATE("R",'Mapa final'!$A$16),"")</f>
        <v/>
      </c>
      <c r="S20" s="293"/>
      <c r="T20" s="293" t="str">
        <f>IF(AND('Mapa final'!$L$18="Alta",'Mapa final'!$P$18="Menor"),CONCATENATE("R",'Mapa final'!$A$18),"")</f>
        <v/>
      </c>
      <c r="U20" s="294"/>
      <c r="V20" s="276" t="e">
        <f>IF(AND('Mapa final'!#REF!="Alta",'Mapa final'!#REF!="Moderado"),CONCATENATE("R",'Mapa final'!#REF!),"")</f>
        <v>#REF!</v>
      </c>
      <c r="W20" s="272"/>
      <c r="X20" s="272" t="str">
        <f>IF(AND('Mapa final'!$L$16="Alta",'Mapa final'!$P$16="Moderado"),CONCATENATE("R",'Mapa final'!$A$16),"")</f>
        <v/>
      </c>
      <c r="Y20" s="272"/>
      <c r="Z20" s="272" t="str">
        <f>IF(AND('Mapa final'!$L$18="Alta",'Mapa final'!$P$18="Moderado"),CONCATENATE("R",'Mapa final'!$A$18),"")</f>
        <v/>
      </c>
      <c r="AA20" s="273"/>
      <c r="AB20" s="276" t="e">
        <f>IF(AND('Mapa final'!#REF!="Alta",'Mapa final'!#REF!="Mayor"),CONCATENATE("R",'Mapa final'!#REF!),"")</f>
        <v>#REF!</v>
      </c>
      <c r="AC20" s="272"/>
      <c r="AD20" s="272" t="str">
        <f>IF(AND('Mapa final'!$L$16="Alta",'Mapa final'!$P$16="Mayor"),CONCATENATE("R",'Mapa final'!$A$16),"")</f>
        <v/>
      </c>
      <c r="AE20" s="272"/>
      <c r="AF20" s="272" t="str">
        <f>IF(AND('Mapa final'!$L$18="Alta",'Mapa final'!$P$18="Mayor"),CONCATENATE("R",'Mapa final'!$A$18),"")</f>
        <v/>
      </c>
      <c r="AG20" s="273"/>
      <c r="AH20" s="283" t="e">
        <f>IF(AND('Mapa final'!#REF!="Alta",'Mapa final'!#REF!="Catastrófico"),CONCATENATE("R",'Mapa final'!#REF!),"")</f>
        <v>#REF!</v>
      </c>
      <c r="AI20" s="284"/>
      <c r="AJ20" s="284" t="str">
        <f>IF(AND('Mapa final'!$L$16="Alta",'Mapa final'!$P$16="Catastrófico"),CONCATENATE("R",'Mapa final'!$A$16),"")</f>
        <v/>
      </c>
      <c r="AK20" s="284"/>
      <c r="AL20" s="284" t="str">
        <f>IF(AND('Mapa final'!$L$18="Alta",'Mapa final'!$P$18="Catastrófico"),CONCATENATE("R",'Mapa final'!$A$18),"")</f>
        <v/>
      </c>
      <c r="AM20" s="285"/>
      <c r="AN20" s="75"/>
      <c r="AO20" s="239"/>
      <c r="AP20" s="240"/>
      <c r="AQ20" s="240"/>
      <c r="AR20" s="240"/>
      <c r="AS20" s="240"/>
      <c r="AT20" s="241"/>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225"/>
      <c r="C21" s="225"/>
      <c r="D21" s="226"/>
      <c r="E21" s="269"/>
      <c r="F21" s="270"/>
      <c r="G21" s="270"/>
      <c r="H21" s="270"/>
      <c r="I21" s="270"/>
      <c r="J21" s="295"/>
      <c r="K21" s="296"/>
      <c r="L21" s="296"/>
      <c r="M21" s="296"/>
      <c r="N21" s="296"/>
      <c r="O21" s="297"/>
      <c r="P21" s="295"/>
      <c r="Q21" s="296"/>
      <c r="R21" s="296"/>
      <c r="S21" s="296"/>
      <c r="T21" s="296"/>
      <c r="U21" s="297"/>
      <c r="V21" s="280"/>
      <c r="W21" s="281"/>
      <c r="X21" s="281"/>
      <c r="Y21" s="281"/>
      <c r="Z21" s="281"/>
      <c r="AA21" s="282"/>
      <c r="AB21" s="280"/>
      <c r="AC21" s="281"/>
      <c r="AD21" s="281"/>
      <c r="AE21" s="281"/>
      <c r="AF21" s="281"/>
      <c r="AG21" s="282"/>
      <c r="AH21" s="286"/>
      <c r="AI21" s="287"/>
      <c r="AJ21" s="287"/>
      <c r="AK21" s="287"/>
      <c r="AL21" s="287"/>
      <c r="AM21" s="288"/>
      <c r="AN21" s="75"/>
      <c r="AO21" s="242"/>
      <c r="AP21" s="243"/>
      <c r="AQ21" s="243"/>
      <c r="AR21" s="243"/>
      <c r="AS21" s="243"/>
      <c r="AT21" s="244"/>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225"/>
      <c r="C22" s="225"/>
      <c r="D22" s="226"/>
      <c r="E22" s="263" t="s">
        <v>116</v>
      </c>
      <c r="F22" s="264"/>
      <c r="G22" s="264"/>
      <c r="H22" s="264"/>
      <c r="I22" s="265"/>
      <c r="J22" s="298" t="e">
        <f>IF(AND('Mapa final'!#REF!="Media",'Mapa final'!#REF!="Leve"),CONCATENATE("R",'Mapa final'!#REF!),"")</f>
        <v>#REF!</v>
      </c>
      <c r="K22" s="299"/>
      <c r="L22" s="299" t="str">
        <f>IF(AND('Mapa final'!$L$11="Media",'Mapa final'!$P$11="Leve"),CONCATENATE("R",'Mapa final'!$A$11),"")</f>
        <v/>
      </c>
      <c r="M22" s="299"/>
      <c r="N22" s="299" t="e">
        <f>IF(AND('Mapa final'!#REF!="Media",'Mapa final'!#REF!="Leve"),CONCATENATE("R",'Mapa final'!#REF!),"")</f>
        <v>#REF!</v>
      </c>
      <c r="O22" s="300"/>
      <c r="P22" s="298" t="e">
        <f>IF(AND('Mapa final'!#REF!="Media",'Mapa final'!#REF!="Menor"),CONCATENATE("R",'Mapa final'!#REF!),"")</f>
        <v>#REF!</v>
      </c>
      <c r="Q22" s="299"/>
      <c r="R22" s="299" t="str">
        <f>IF(AND('Mapa final'!$L$11="Media",'Mapa final'!$P$11="Menor"),CONCATENATE("R",'Mapa final'!$A$11),"")</f>
        <v/>
      </c>
      <c r="S22" s="299"/>
      <c r="T22" s="299" t="e">
        <f>IF(AND('Mapa final'!#REF!="Media",'Mapa final'!#REF!="Menor"),CONCATENATE("R",'Mapa final'!#REF!),"")</f>
        <v>#REF!</v>
      </c>
      <c r="U22" s="300"/>
      <c r="V22" s="298" t="e">
        <f>IF(AND('Mapa final'!#REF!="Media",'Mapa final'!#REF!="Moderado"),CONCATENATE("R",'Mapa final'!#REF!),"")</f>
        <v>#REF!</v>
      </c>
      <c r="W22" s="299"/>
      <c r="X22" s="299" t="str">
        <f>IF(AND('Mapa final'!$L$11="Media",'Mapa final'!$P$11="Moderado"),CONCATENATE("R",'Mapa final'!$A$11),"")</f>
        <v/>
      </c>
      <c r="Y22" s="299"/>
      <c r="Z22" s="299" t="e">
        <f>IF(AND('Mapa final'!#REF!="Media",'Mapa final'!#REF!="Moderado"),CONCATENATE("R",'Mapa final'!#REF!),"")</f>
        <v>#REF!</v>
      </c>
      <c r="AA22" s="300"/>
      <c r="AB22" s="274" t="e">
        <f>IF(AND('Mapa final'!#REF!="Media",'Mapa final'!#REF!="Mayor"),CONCATENATE("R",'Mapa final'!#REF!),"")</f>
        <v>#REF!</v>
      </c>
      <c r="AC22" s="275"/>
      <c r="AD22" s="275" t="str">
        <f>IF(AND('Mapa final'!$L$11="Media",'Mapa final'!$P$11="Mayor"),CONCATENATE("R",'Mapa final'!$A$11),"")</f>
        <v/>
      </c>
      <c r="AE22" s="275"/>
      <c r="AF22" s="275" t="e">
        <f>IF(AND('Mapa final'!#REF!="Media",'Mapa final'!#REF!="Mayor"),CONCATENATE("R",'Mapa final'!#REF!),"")</f>
        <v>#REF!</v>
      </c>
      <c r="AG22" s="277"/>
      <c r="AH22" s="289" t="e">
        <f>IF(AND('Mapa final'!#REF!="Media",'Mapa final'!#REF!="Catastrófico"),CONCATENATE("R",'Mapa final'!#REF!),"")</f>
        <v>#REF!</v>
      </c>
      <c r="AI22" s="290"/>
      <c r="AJ22" s="290" t="str">
        <f>IF(AND('Mapa final'!$L$11="Media",'Mapa final'!$P$11="Catastrófico"),CONCATENATE("R",'Mapa final'!$A$11),"")</f>
        <v/>
      </c>
      <c r="AK22" s="290"/>
      <c r="AL22" s="290" t="e">
        <f>IF(AND('Mapa final'!#REF!="Media",'Mapa final'!#REF!="Catastrófico"),CONCATENATE("R",'Mapa final'!#REF!),"")</f>
        <v>#REF!</v>
      </c>
      <c r="AM22" s="291"/>
      <c r="AN22" s="75"/>
      <c r="AO22" s="245" t="s">
        <v>80</v>
      </c>
      <c r="AP22" s="246"/>
      <c r="AQ22" s="246"/>
      <c r="AR22" s="246"/>
      <c r="AS22" s="246"/>
      <c r="AT22" s="247"/>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225"/>
      <c r="C23" s="225"/>
      <c r="D23" s="226"/>
      <c r="E23" s="266"/>
      <c r="F23" s="267"/>
      <c r="G23" s="267"/>
      <c r="H23" s="267"/>
      <c r="I23" s="268"/>
      <c r="J23" s="292"/>
      <c r="K23" s="293"/>
      <c r="L23" s="293"/>
      <c r="M23" s="293"/>
      <c r="N23" s="293"/>
      <c r="O23" s="294"/>
      <c r="P23" s="292"/>
      <c r="Q23" s="293"/>
      <c r="R23" s="293"/>
      <c r="S23" s="293"/>
      <c r="T23" s="293"/>
      <c r="U23" s="294"/>
      <c r="V23" s="292"/>
      <c r="W23" s="293"/>
      <c r="X23" s="293"/>
      <c r="Y23" s="293"/>
      <c r="Z23" s="293"/>
      <c r="AA23" s="294"/>
      <c r="AB23" s="276"/>
      <c r="AC23" s="272"/>
      <c r="AD23" s="272"/>
      <c r="AE23" s="272"/>
      <c r="AF23" s="272"/>
      <c r="AG23" s="273"/>
      <c r="AH23" s="283"/>
      <c r="AI23" s="284"/>
      <c r="AJ23" s="284"/>
      <c r="AK23" s="284"/>
      <c r="AL23" s="284"/>
      <c r="AM23" s="285"/>
      <c r="AN23" s="75"/>
      <c r="AO23" s="248"/>
      <c r="AP23" s="249"/>
      <c r="AQ23" s="249"/>
      <c r="AR23" s="249"/>
      <c r="AS23" s="249"/>
      <c r="AT23" s="250"/>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225"/>
      <c r="C24" s="225"/>
      <c r="D24" s="226"/>
      <c r="E24" s="266"/>
      <c r="F24" s="267"/>
      <c r="G24" s="267"/>
      <c r="H24" s="267"/>
      <c r="I24" s="268"/>
      <c r="J24" s="292" t="e">
        <f>IF(AND('Mapa final'!#REF!="Media",'Mapa final'!#REF!="Leve"),CONCATENATE("R",'Mapa final'!#REF!),"")</f>
        <v>#REF!</v>
      </c>
      <c r="K24" s="293"/>
      <c r="L24" s="293" t="e">
        <f>IF(AND('Mapa final'!#REF!="Media",'Mapa final'!#REF!="Leve"),CONCATENATE("R",'Mapa final'!#REF!),"")</f>
        <v>#REF!</v>
      </c>
      <c r="M24" s="293"/>
      <c r="N24" s="293" t="e">
        <f>IF(AND('Mapa final'!#REF!="Media",'Mapa final'!#REF!="Leve"),CONCATENATE("R",'Mapa final'!#REF!),"")</f>
        <v>#REF!</v>
      </c>
      <c r="O24" s="294"/>
      <c r="P24" s="292" t="e">
        <f>IF(AND('Mapa final'!#REF!="Media",'Mapa final'!#REF!="Menor"),CONCATENATE("R",'Mapa final'!#REF!),"")</f>
        <v>#REF!</v>
      </c>
      <c r="Q24" s="293"/>
      <c r="R24" s="293" t="e">
        <f>IF(AND('Mapa final'!#REF!="Media",'Mapa final'!#REF!="Menor"),CONCATENATE("R",'Mapa final'!#REF!),"")</f>
        <v>#REF!</v>
      </c>
      <c r="S24" s="293"/>
      <c r="T24" s="293" t="e">
        <f>IF(AND('Mapa final'!#REF!="Media",'Mapa final'!#REF!="Menor"),CONCATENATE("R",'Mapa final'!#REF!),"")</f>
        <v>#REF!</v>
      </c>
      <c r="U24" s="294"/>
      <c r="V24" s="292" t="e">
        <f>IF(AND('Mapa final'!#REF!="Media",'Mapa final'!#REF!="Moderado"),CONCATENATE("R",'Mapa final'!#REF!),"")</f>
        <v>#REF!</v>
      </c>
      <c r="W24" s="293"/>
      <c r="X24" s="293" t="e">
        <f>IF(AND('Mapa final'!#REF!="Media",'Mapa final'!#REF!="Moderado"),CONCATENATE("R",'Mapa final'!#REF!),"")</f>
        <v>#REF!</v>
      </c>
      <c r="Y24" s="293"/>
      <c r="Z24" s="293" t="e">
        <f>IF(AND('Mapa final'!#REF!="Media",'Mapa final'!#REF!="Moderado"),CONCATENATE("R",'Mapa final'!#REF!),"")</f>
        <v>#REF!</v>
      </c>
      <c r="AA24" s="294"/>
      <c r="AB24" s="276" t="e">
        <f>IF(AND('Mapa final'!#REF!="Media",'Mapa final'!#REF!="Mayor"),CONCATENATE("R",'Mapa final'!#REF!),"")</f>
        <v>#REF!</v>
      </c>
      <c r="AC24" s="272"/>
      <c r="AD24" s="272" t="e">
        <f>IF(AND('Mapa final'!#REF!="Media",'Mapa final'!#REF!="Mayor"),CONCATENATE("R",'Mapa final'!#REF!),"")</f>
        <v>#REF!</v>
      </c>
      <c r="AE24" s="272"/>
      <c r="AF24" s="272" t="e">
        <f>IF(AND('Mapa final'!#REF!="Media",'Mapa final'!#REF!="Mayor"),CONCATENATE("R",'Mapa final'!#REF!),"")</f>
        <v>#REF!</v>
      </c>
      <c r="AG24" s="273"/>
      <c r="AH24" s="283" t="e">
        <f>IF(AND('Mapa final'!#REF!="Media",'Mapa final'!#REF!="Catastrófico"),CONCATENATE("R",'Mapa final'!#REF!),"")</f>
        <v>#REF!</v>
      </c>
      <c r="AI24" s="284"/>
      <c r="AJ24" s="284" t="e">
        <f>IF(AND('Mapa final'!#REF!="Media",'Mapa final'!#REF!="Catastrófico"),CONCATENATE("R",'Mapa final'!#REF!),"")</f>
        <v>#REF!</v>
      </c>
      <c r="AK24" s="284"/>
      <c r="AL24" s="284" t="e">
        <f>IF(AND('Mapa final'!#REF!="Media",'Mapa final'!#REF!="Catastrófico"),CONCATENATE("R",'Mapa final'!#REF!),"")</f>
        <v>#REF!</v>
      </c>
      <c r="AM24" s="285"/>
      <c r="AN24" s="75"/>
      <c r="AO24" s="248"/>
      <c r="AP24" s="249"/>
      <c r="AQ24" s="249"/>
      <c r="AR24" s="249"/>
      <c r="AS24" s="249"/>
      <c r="AT24" s="250"/>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225"/>
      <c r="C25" s="225"/>
      <c r="D25" s="226"/>
      <c r="E25" s="266"/>
      <c r="F25" s="267"/>
      <c r="G25" s="267"/>
      <c r="H25" s="267"/>
      <c r="I25" s="268"/>
      <c r="J25" s="292"/>
      <c r="K25" s="293"/>
      <c r="L25" s="293"/>
      <c r="M25" s="293"/>
      <c r="N25" s="293"/>
      <c r="O25" s="294"/>
      <c r="P25" s="292"/>
      <c r="Q25" s="293"/>
      <c r="R25" s="293"/>
      <c r="S25" s="293"/>
      <c r="T25" s="293"/>
      <c r="U25" s="294"/>
      <c r="V25" s="292"/>
      <c r="W25" s="293"/>
      <c r="X25" s="293"/>
      <c r="Y25" s="293"/>
      <c r="Z25" s="293"/>
      <c r="AA25" s="294"/>
      <c r="AB25" s="276"/>
      <c r="AC25" s="272"/>
      <c r="AD25" s="272"/>
      <c r="AE25" s="272"/>
      <c r="AF25" s="272"/>
      <c r="AG25" s="273"/>
      <c r="AH25" s="283"/>
      <c r="AI25" s="284"/>
      <c r="AJ25" s="284"/>
      <c r="AK25" s="284"/>
      <c r="AL25" s="284"/>
      <c r="AM25" s="285"/>
      <c r="AN25" s="75"/>
      <c r="AO25" s="248"/>
      <c r="AP25" s="249"/>
      <c r="AQ25" s="249"/>
      <c r="AR25" s="249"/>
      <c r="AS25" s="249"/>
      <c r="AT25" s="250"/>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225"/>
      <c r="C26" s="225"/>
      <c r="D26" s="226"/>
      <c r="E26" s="266"/>
      <c r="F26" s="267"/>
      <c r="G26" s="267"/>
      <c r="H26" s="267"/>
      <c r="I26" s="268"/>
      <c r="J26" s="292" t="e">
        <f>IF(AND('Mapa final'!#REF!="Media",'Mapa final'!#REF!="Leve"),CONCATENATE("R",'Mapa final'!#REF!),"")</f>
        <v>#REF!</v>
      </c>
      <c r="K26" s="293"/>
      <c r="L26" s="293" t="e">
        <f>IF(AND('Mapa final'!#REF!="Media",'Mapa final'!#REF!="Leve"),CONCATENATE("R",'Mapa final'!#REF!),"")</f>
        <v>#REF!</v>
      </c>
      <c r="M26" s="293"/>
      <c r="N26" s="293" t="e">
        <f>IF(AND('Mapa final'!#REF!="Media",'Mapa final'!#REF!="Leve"),CONCATENATE("R",'Mapa final'!#REF!),"")</f>
        <v>#REF!</v>
      </c>
      <c r="O26" s="294"/>
      <c r="P26" s="292" t="e">
        <f>IF(AND('Mapa final'!#REF!="Media",'Mapa final'!#REF!="Menor"),CONCATENATE("R",'Mapa final'!#REF!),"")</f>
        <v>#REF!</v>
      </c>
      <c r="Q26" s="293"/>
      <c r="R26" s="293" t="e">
        <f>IF(AND('Mapa final'!#REF!="Media",'Mapa final'!#REF!="Menor"),CONCATENATE("R",'Mapa final'!#REF!),"")</f>
        <v>#REF!</v>
      </c>
      <c r="S26" s="293"/>
      <c r="T26" s="293" t="e">
        <f>IF(AND('Mapa final'!#REF!="Media",'Mapa final'!#REF!="Menor"),CONCATENATE("R",'Mapa final'!#REF!),"")</f>
        <v>#REF!</v>
      </c>
      <c r="U26" s="294"/>
      <c r="V26" s="292" t="e">
        <f>IF(AND('Mapa final'!#REF!="Media",'Mapa final'!#REF!="Moderado"),CONCATENATE("R",'Mapa final'!#REF!),"")</f>
        <v>#REF!</v>
      </c>
      <c r="W26" s="293"/>
      <c r="X26" s="293" t="e">
        <f>IF(AND('Mapa final'!#REF!="Media",'Mapa final'!#REF!="Moderado"),CONCATENATE("R",'Mapa final'!#REF!),"")</f>
        <v>#REF!</v>
      </c>
      <c r="Y26" s="293"/>
      <c r="Z26" s="293" t="e">
        <f>IF(AND('Mapa final'!#REF!="Media",'Mapa final'!#REF!="Moderado"),CONCATENATE("R",'Mapa final'!#REF!),"")</f>
        <v>#REF!</v>
      </c>
      <c r="AA26" s="294"/>
      <c r="AB26" s="276" t="e">
        <f>IF(AND('Mapa final'!#REF!="Media",'Mapa final'!#REF!="Mayor"),CONCATENATE("R",'Mapa final'!#REF!),"")</f>
        <v>#REF!</v>
      </c>
      <c r="AC26" s="272"/>
      <c r="AD26" s="272" t="e">
        <f>IF(AND('Mapa final'!#REF!="Media",'Mapa final'!#REF!="Mayor"),CONCATENATE("R",'Mapa final'!#REF!),"")</f>
        <v>#REF!</v>
      </c>
      <c r="AE26" s="272"/>
      <c r="AF26" s="272" t="e">
        <f>IF(AND('Mapa final'!#REF!="Media",'Mapa final'!#REF!="Mayor"),CONCATENATE("R",'Mapa final'!#REF!),"")</f>
        <v>#REF!</v>
      </c>
      <c r="AG26" s="273"/>
      <c r="AH26" s="283" t="e">
        <f>IF(AND('Mapa final'!#REF!="Media",'Mapa final'!#REF!="Catastrófico"),CONCATENATE("R",'Mapa final'!#REF!),"")</f>
        <v>#REF!</v>
      </c>
      <c r="AI26" s="284"/>
      <c r="AJ26" s="284" t="e">
        <f>IF(AND('Mapa final'!#REF!="Media",'Mapa final'!#REF!="Catastrófico"),CONCATENATE("R",'Mapa final'!#REF!),"")</f>
        <v>#REF!</v>
      </c>
      <c r="AK26" s="284"/>
      <c r="AL26" s="284" t="e">
        <f>IF(AND('Mapa final'!#REF!="Media",'Mapa final'!#REF!="Catastrófico"),CONCATENATE("R",'Mapa final'!#REF!),"")</f>
        <v>#REF!</v>
      </c>
      <c r="AM26" s="285"/>
      <c r="AN26" s="75"/>
      <c r="AO26" s="248"/>
      <c r="AP26" s="249"/>
      <c r="AQ26" s="249"/>
      <c r="AR26" s="249"/>
      <c r="AS26" s="249"/>
      <c r="AT26" s="250"/>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225"/>
      <c r="C27" s="225"/>
      <c r="D27" s="226"/>
      <c r="E27" s="266"/>
      <c r="F27" s="267"/>
      <c r="G27" s="267"/>
      <c r="H27" s="267"/>
      <c r="I27" s="268"/>
      <c r="J27" s="292"/>
      <c r="K27" s="293"/>
      <c r="L27" s="293"/>
      <c r="M27" s="293"/>
      <c r="N27" s="293"/>
      <c r="O27" s="294"/>
      <c r="P27" s="292"/>
      <c r="Q27" s="293"/>
      <c r="R27" s="293"/>
      <c r="S27" s="293"/>
      <c r="T27" s="293"/>
      <c r="U27" s="294"/>
      <c r="V27" s="292"/>
      <c r="W27" s="293"/>
      <c r="X27" s="293"/>
      <c r="Y27" s="293"/>
      <c r="Z27" s="293"/>
      <c r="AA27" s="294"/>
      <c r="AB27" s="276"/>
      <c r="AC27" s="272"/>
      <c r="AD27" s="272"/>
      <c r="AE27" s="272"/>
      <c r="AF27" s="272"/>
      <c r="AG27" s="273"/>
      <c r="AH27" s="283"/>
      <c r="AI27" s="284"/>
      <c r="AJ27" s="284"/>
      <c r="AK27" s="284"/>
      <c r="AL27" s="284"/>
      <c r="AM27" s="285"/>
      <c r="AN27" s="75"/>
      <c r="AO27" s="248"/>
      <c r="AP27" s="249"/>
      <c r="AQ27" s="249"/>
      <c r="AR27" s="249"/>
      <c r="AS27" s="249"/>
      <c r="AT27" s="250"/>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225"/>
      <c r="C28" s="225"/>
      <c r="D28" s="226"/>
      <c r="E28" s="266"/>
      <c r="F28" s="267"/>
      <c r="G28" s="267"/>
      <c r="H28" s="267"/>
      <c r="I28" s="268"/>
      <c r="J28" s="292" t="e">
        <f>IF(AND('Mapa final'!#REF!="Media",'Mapa final'!#REF!="Leve"),CONCATENATE("R",'Mapa final'!#REF!),"")</f>
        <v>#REF!</v>
      </c>
      <c r="K28" s="293"/>
      <c r="L28" s="293" t="str">
        <f>IF(AND('Mapa final'!$L$16="Media",'Mapa final'!$P$16="Leve"),CONCATENATE("R",'Mapa final'!$A$16),"")</f>
        <v/>
      </c>
      <c r="M28" s="293"/>
      <c r="N28" s="293" t="str">
        <f>IF(AND('Mapa final'!$L$18="Media",'Mapa final'!$P$18="Leve"),CONCATENATE("R",'Mapa final'!$A$18),"")</f>
        <v/>
      </c>
      <c r="O28" s="294"/>
      <c r="P28" s="292" t="e">
        <f>IF(AND('Mapa final'!#REF!="Media",'Mapa final'!#REF!="Menor"),CONCATENATE("R",'Mapa final'!#REF!),"")</f>
        <v>#REF!</v>
      </c>
      <c r="Q28" s="293"/>
      <c r="R28" s="293" t="str">
        <f>IF(AND('Mapa final'!$L$16="Media",'Mapa final'!$P$16="Menor"),CONCATENATE("R",'Mapa final'!$A$16),"")</f>
        <v/>
      </c>
      <c r="S28" s="293"/>
      <c r="T28" s="293" t="str">
        <f>IF(AND('Mapa final'!$L$18="Media",'Mapa final'!$P$18="Menor"),CONCATENATE("R",'Mapa final'!$A$18),"")</f>
        <v/>
      </c>
      <c r="U28" s="294"/>
      <c r="V28" s="292" t="e">
        <f>IF(AND('Mapa final'!#REF!="Media",'Mapa final'!#REF!="Moderado"),CONCATENATE("R",'Mapa final'!#REF!),"")</f>
        <v>#REF!</v>
      </c>
      <c r="W28" s="293"/>
      <c r="X28" s="293" t="str">
        <f>IF(AND('Mapa final'!$L$16="Media",'Mapa final'!$P$16="Moderado"),CONCATENATE("R",'Mapa final'!$A$16),"")</f>
        <v/>
      </c>
      <c r="Y28" s="293"/>
      <c r="Z28" s="293" t="str">
        <f>IF(AND('Mapa final'!$L$18="Media",'Mapa final'!$P$18="Moderado"),CONCATENATE("R",'Mapa final'!$A$18),"")</f>
        <v/>
      </c>
      <c r="AA28" s="294"/>
      <c r="AB28" s="276" t="e">
        <f>IF(AND('Mapa final'!#REF!="Media",'Mapa final'!#REF!="Mayor"),CONCATENATE("R",'Mapa final'!#REF!),"")</f>
        <v>#REF!</v>
      </c>
      <c r="AC28" s="272"/>
      <c r="AD28" s="272" t="str">
        <f>IF(AND('Mapa final'!$L$16="Media",'Mapa final'!$P$16="Mayor"),CONCATENATE("R",'Mapa final'!$A$16),"")</f>
        <v/>
      </c>
      <c r="AE28" s="272"/>
      <c r="AF28" s="272" t="str">
        <f>IF(AND('Mapa final'!$L$18="Media",'Mapa final'!$P$18="Mayor"),CONCATENATE("R",'Mapa final'!$A$18),"")</f>
        <v/>
      </c>
      <c r="AG28" s="273"/>
      <c r="AH28" s="283" t="e">
        <f>IF(AND('Mapa final'!#REF!="Media",'Mapa final'!#REF!="Catastrófico"),CONCATENATE("R",'Mapa final'!#REF!),"")</f>
        <v>#REF!</v>
      </c>
      <c r="AI28" s="284"/>
      <c r="AJ28" s="284" t="str">
        <f>IF(AND('Mapa final'!$L$16="Media",'Mapa final'!$P$16="Catastrófico"),CONCATENATE("R",'Mapa final'!$A$16),"")</f>
        <v/>
      </c>
      <c r="AK28" s="284"/>
      <c r="AL28" s="284" t="str">
        <f>IF(AND('Mapa final'!$L$18="Media",'Mapa final'!$P$18="Catastrófico"),CONCATENATE("R",'Mapa final'!$A$18),"")</f>
        <v/>
      </c>
      <c r="AM28" s="285"/>
      <c r="AN28" s="75"/>
      <c r="AO28" s="248"/>
      <c r="AP28" s="249"/>
      <c r="AQ28" s="249"/>
      <c r="AR28" s="249"/>
      <c r="AS28" s="249"/>
      <c r="AT28" s="250"/>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225"/>
      <c r="C29" s="225"/>
      <c r="D29" s="226"/>
      <c r="E29" s="269"/>
      <c r="F29" s="270"/>
      <c r="G29" s="270"/>
      <c r="H29" s="270"/>
      <c r="I29" s="271"/>
      <c r="J29" s="292"/>
      <c r="K29" s="293"/>
      <c r="L29" s="293"/>
      <c r="M29" s="293"/>
      <c r="N29" s="293"/>
      <c r="O29" s="294"/>
      <c r="P29" s="295"/>
      <c r="Q29" s="296"/>
      <c r="R29" s="296"/>
      <c r="S29" s="296"/>
      <c r="T29" s="296"/>
      <c r="U29" s="297"/>
      <c r="V29" s="295"/>
      <c r="W29" s="296"/>
      <c r="X29" s="296"/>
      <c r="Y29" s="296"/>
      <c r="Z29" s="296"/>
      <c r="AA29" s="297"/>
      <c r="AB29" s="280"/>
      <c r="AC29" s="281"/>
      <c r="AD29" s="281"/>
      <c r="AE29" s="281"/>
      <c r="AF29" s="281"/>
      <c r="AG29" s="282"/>
      <c r="AH29" s="286"/>
      <c r="AI29" s="287"/>
      <c r="AJ29" s="287"/>
      <c r="AK29" s="287"/>
      <c r="AL29" s="287"/>
      <c r="AM29" s="288"/>
      <c r="AN29" s="75"/>
      <c r="AO29" s="251"/>
      <c r="AP29" s="252"/>
      <c r="AQ29" s="252"/>
      <c r="AR29" s="252"/>
      <c r="AS29" s="252"/>
      <c r="AT29" s="253"/>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225"/>
      <c r="C30" s="225"/>
      <c r="D30" s="226"/>
      <c r="E30" s="263" t="s">
        <v>113</v>
      </c>
      <c r="F30" s="264"/>
      <c r="G30" s="264"/>
      <c r="H30" s="264"/>
      <c r="I30" s="264"/>
      <c r="J30" s="307" t="e">
        <f>IF(AND('Mapa final'!#REF!="Baja",'Mapa final'!#REF!="Leve"),CONCATENATE("R",'Mapa final'!#REF!),"")</f>
        <v>#REF!</v>
      </c>
      <c r="K30" s="308"/>
      <c r="L30" s="308" t="str">
        <f>IF(AND('Mapa final'!$L$11="Baja",'Mapa final'!$P$11="Leve"),CONCATENATE("R",'Mapa final'!$A$11),"")</f>
        <v/>
      </c>
      <c r="M30" s="308"/>
      <c r="N30" s="308" t="e">
        <f>IF(AND('Mapa final'!#REF!="Baja",'Mapa final'!#REF!="Leve"),CONCATENATE("R",'Mapa final'!#REF!),"")</f>
        <v>#REF!</v>
      </c>
      <c r="O30" s="309"/>
      <c r="P30" s="299" t="e">
        <f>IF(AND('Mapa final'!#REF!="Baja",'Mapa final'!#REF!="Menor"),CONCATENATE("R",'Mapa final'!#REF!),"")</f>
        <v>#REF!</v>
      </c>
      <c r="Q30" s="299"/>
      <c r="R30" s="299" t="str">
        <f>IF(AND('Mapa final'!$L$11="Baja",'Mapa final'!$P$11="Menor"),CONCATENATE("R",'Mapa final'!$A$11),"")</f>
        <v/>
      </c>
      <c r="S30" s="299"/>
      <c r="T30" s="299" t="e">
        <f>IF(AND('Mapa final'!#REF!="Baja",'Mapa final'!#REF!="Menor"),CONCATENATE("R",'Mapa final'!#REF!),"")</f>
        <v>#REF!</v>
      </c>
      <c r="U30" s="300"/>
      <c r="V30" s="298" t="e">
        <f>IF(AND('Mapa final'!#REF!="Baja",'Mapa final'!#REF!="Moderado"),CONCATENATE("R",'Mapa final'!#REF!),"")</f>
        <v>#REF!</v>
      </c>
      <c r="W30" s="299"/>
      <c r="X30" s="299" t="str">
        <f>IF(AND('Mapa final'!$L$11="Baja",'Mapa final'!$P$11="Moderado"),CONCATENATE("R",'Mapa final'!$A$11),"")</f>
        <v/>
      </c>
      <c r="Y30" s="299"/>
      <c r="Z30" s="299" t="e">
        <f>IF(AND('Mapa final'!#REF!="Baja",'Mapa final'!#REF!="Moderado"),CONCATENATE("R",'Mapa final'!#REF!),"")</f>
        <v>#REF!</v>
      </c>
      <c r="AA30" s="300"/>
      <c r="AB30" s="274" t="e">
        <f>IF(AND('Mapa final'!#REF!="Baja",'Mapa final'!#REF!="Mayor"),CONCATENATE("R",'Mapa final'!#REF!),"")</f>
        <v>#REF!</v>
      </c>
      <c r="AC30" s="275"/>
      <c r="AD30" s="275" t="str">
        <f>IF(AND('Mapa final'!$L$11="Baja",'Mapa final'!$P$11="Mayor"),CONCATENATE("R",'Mapa final'!$A$11),"")</f>
        <v/>
      </c>
      <c r="AE30" s="275"/>
      <c r="AF30" s="275" t="e">
        <f>IF(AND('Mapa final'!#REF!="Baja",'Mapa final'!#REF!="Mayor"),CONCATENATE("R",'Mapa final'!#REF!),"")</f>
        <v>#REF!</v>
      </c>
      <c r="AG30" s="277"/>
      <c r="AH30" s="289" t="e">
        <f>IF(AND('Mapa final'!#REF!="Baja",'Mapa final'!#REF!="Catastrófico"),CONCATENATE("R",'Mapa final'!#REF!),"")</f>
        <v>#REF!</v>
      </c>
      <c r="AI30" s="290"/>
      <c r="AJ30" s="290" t="str">
        <f>IF(AND('Mapa final'!$L$11="Baja",'Mapa final'!$P$11="Catastrófico"),CONCATENATE("R",'Mapa final'!$A$11),"")</f>
        <v/>
      </c>
      <c r="AK30" s="290"/>
      <c r="AL30" s="290" t="e">
        <f>IF(AND('Mapa final'!#REF!="Baja",'Mapa final'!#REF!="Catastrófico"),CONCATENATE("R",'Mapa final'!#REF!),"")</f>
        <v>#REF!</v>
      </c>
      <c r="AM30" s="291"/>
      <c r="AN30" s="75"/>
      <c r="AO30" s="254" t="s">
        <v>81</v>
      </c>
      <c r="AP30" s="255"/>
      <c r="AQ30" s="255"/>
      <c r="AR30" s="255"/>
      <c r="AS30" s="255"/>
      <c r="AT30" s="256"/>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225"/>
      <c r="C31" s="225"/>
      <c r="D31" s="226"/>
      <c r="E31" s="266"/>
      <c r="F31" s="267"/>
      <c r="G31" s="267"/>
      <c r="H31" s="267"/>
      <c r="I31" s="267"/>
      <c r="J31" s="303"/>
      <c r="K31" s="301"/>
      <c r="L31" s="301"/>
      <c r="M31" s="301"/>
      <c r="N31" s="301"/>
      <c r="O31" s="302"/>
      <c r="P31" s="293"/>
      <c r="Q31" s="293"/>
      <c r="R31" s="293"/>
      <c r="S31" s="293"/>
      <c r="T31" s="293"/>
      <c r="U31" s="294"/>
      <c r="V31" s="292"/>
      <c r="W31" s="293"/>
      <c r="X31" s="293"/>
      <c r="Y31" s="293"/>
      <c r="Z31" s="293"/>
      <c r="AA31" s="294"/>
      <c r="AB31" s="276"/>
      <c r="AC31" s="272"/>
      <c r="AD31" s="272"/>
      <c r="AE31" s="272"/>
      <c r="AF31" s="272"/>
      <c r="AG31" s="273"/>
      <c r="AH31" s="283"/>
      <c r="AI31" s="284"/>
      <c r="AJ31" s="284"/>
      <c r="AK31" s="284"/>
      <c r="AL31" s="284"/>
      <c r="AM31" s="285"/>
      <c r="AN31" s="75"/>
      <c r="AO31" s="257"/>
      <c r="AP31" s="258"/>
      <c r="AQ31" s="258"/>
      <c r="AR31" s="258"/>
      <c r="AS31" s="258"/>
      <c r="AT31" s="259"/>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225"/>
      <c r="C32" s="225"/>
      <c r="D32" s="226"/>
      <c r="E32" s="266"/>
      <c r="F32" s="267"/>
      <c r="G32" s="267"/>
      <c r="H32" s="267"/>
      <c r="I32" s="267"/>
      <c r="J32" s="303" t="e">
        <f>IF(AND('Mapa final'!#REF!="Baja",'Mapa final'!#REF!="Leve"),CONCATENATE("R",'Mapa final'!#REF!),"")</f>
        <v>#REF!</v>
      </c>
      <c r="K32" s="301"/>
      <c r="L32" s="301" t="e">
        <f>IF(AND('Mapa final'!#REF!="Baja",'Mapa final'!#REF!="Leve"),CONCATENATE("R",'Mapa final'!#REF!),"")</f>
        <v>#REF!</v>
      </c>
      <c r="M32" s="301"/>
      <c r="N32" s="301" t="e">
        <f>IF(AND('Mapa final'!#REF!="Baja",'Mapa final'!#REF!="Leve"),CONCATENATE("R",'Mapa final'!#REF!),"")</f>
        <v>#REF!</v>
      </c>
      <c r="O32" s="302"/>
      <c r="P32" s="293" t="e">
        <f>IF(AND('Mapa final'!#REF!="Baja",'Mapa final'!#REF!="Menor"),CONCATENATE("R",'Mapa final'!#REF!),"")</f>
        <v>#REF!</v>
      </c>
      <c r="Q32" s="293"/>
      <c r="R32" s="293" t="e">
        <f>IF(AND('Mapa final'!#REF!="Baja",'Mapa final'!#REF!="Menor"),CONCATENATE("R",'Mapa final'!#REF!),"")</f>
        <v>#REF!</v>
      </c>
      <c r="S32" s="293"/>
      <c r="T32" s="293" t="e">
        <f>IF(AND('Mapa final'!#REF!="Baja",'Mapa final'!#REF!="Menor"),CONCATENATE("R",'Mapa final'!#REF!),"")</f>
        <v>#REF!</v>
      </c>
      <c r="U32" s="294"/>
      <c r="V32" s="292" t="e">
        <f>IF(AND('Mapa final'!#REF!="Baja",'Mapa final'!#REF!="Moderado"),CONCATENATE("R",'Mapa final'!#REF!),"")</f>
        <v>#REF!</v>
      </c>
      <c r="W32" s="293"/>
      <c r="X32" s="293" t="e">
        <f>IF(AND('Mapa final'!#REF!="Baja",'Mapa final'!#REF!="Moderado"),CONCATENATE("R",'Mapa final'!#REF!),"")</f>
        <v>#REF!</v>
      </c>
      <c r="Y32" s="293"/>
      <c r="Z32" s="293" t="e">
        <f>IF(AND('Mapa final'!#REF!="Baja",'Mapa final'!#REF!="Moderado"),CONCATENATE("R",'Mapa final'!#REF!),"")</f>
        <v>#REF!</v>
      </c>
      <c r="AA32" s="294"/>
      <c r="AB32" s="276" t="e">
        <f>IF(AND('Mapa final'!#REF!="Baja",'Mapa final'!#REF!="Mayor"),CONCATENATE("R",'Mapa final'!#REF!),"")</f>
        <v>#REF!</v>
      </c>
      <c r="AC32" s="272"/>
      <c r="AD32" s="272" t="e">
        <f>IF(AND('Mapa final'!#REF!="Baja",'Mapa final'!#REF!="Mayor"),CONCATENATE("R",'Mapa final'!#REF!),"")</f>
        <v>#REF!</v>
      </c>
      <c r="AE32" s="272"/>
      <c r="AF32" s="272" t="e">
        <f>IF(AND('Mapa final'!#REF!="Baja",'Mapa final'!#REF!="Mayor"),CONCATENATE("R",'Mapa final'!#REF!),"")</f>
        <v>#REF!</v>
      </c>
      <c r="AG32" s="273"/>
      <c r="AH32" s="283" t="e">
        <f>IF(AND('Mapa final'!#REF!="Baja",'Mapa final'!#REF!="Catastrófico"),CONCATENATE("R",'Mapa final'!#REF!),"")</f>
        <v>#REF!</v>
      </c>
      <c r="AI32" s="284"/>
      <c r="AJ32" s="284" t="e">
        <f>IF(AND('Mapa final'!#REF!="Baja",'Mapa final'!#REF!="Catastrófico"),CONCATENATE("R",'Mapa final'!#REF!),"")</f>
        <v>#REF!</v>
      </c>
      <c r="AK32" s="284"/>
      <c r="AL32" s="284" t="e">
        <f>IF(AND('Mapa final'!#REF!="Baja",'Mapa final'!#REF!="Catastrófico"),CONCATENATE("R",'Mapa final'!#REF!),"")</f>
        <v>#REF!</v>
      </c>
      <c r="AM32" s="285"/>
      <c r="AN32" s="75"/>
      <c r="AO32" s="257"/>
      <c r="AP32" s="258"/>
      <c r="AQ32" s="258"/>
      <c r="AR32" s="258"/>
      <c r="AS32" s="258"/>
      <c r="AT32" s="259"/>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225"/>
      <c r="C33" s="225"/>
      <c r="D33" s="226"/>
      <c r="E33" s="266"/>
      <c r="F33" s="267"/>
      <c r="G33" s="267"/>
      <c r="H33" s="267"/>
      <c r="I33" s="267"/>
      <c r="J33" s="303"/>
      <c r="K33" s="301"/>
      <c r="L33" s="301"/>
      <c r="M33" s="301"/>
      <c r="N33" s="301"/>
      <c r="O33" s="302"/>
      <c r="P33" s="293"/>
      <c r="Q33" s="293"/>
      <c r="R33" s="293"/>
      <c r="S33" s="293"/>
      <c r="T33" s="293"/>
      <c r="U33" s="294"/>
      <c r="V33" s="292"/>
      <c r="W33" s="293"/>
      <c r="X33" s="293"/>
      <c r="Y33" s="293"/>
      <c r="Z33" s="293"/>
      <c r="AA33" s="294"/>
      <c r="AB33" s="276"/>
      <c r="AC33" s="272"/>
      <c r="AD33" s="272"/>
      <c r="AE33" s="272"/>
      <c r="AF33" s="272"/>
      <c r="AG33" s="273"/>
      <c r="AH33" s="283"/>
      <c r="AI33" s="284"/>
      <c r="AJ33" s="284"/>
      <c r="AK33" s="284"/>
      <c r="AL33" s="284"/>
      <c r="AM33" s="285"/>
      <c r="AN33" s="75"/>
      <c r="AO33" s="257"/>
      <c r="AP33" s="258"/>
      <c r="AQ33" s="258"/>
      <c r="AR33" s="258"/>
      <c r="AS33" s="258"/>
      <c r="AT33" s="259"/>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225"/>
      <c r="C34" s="225"/>
      <c r="D34" s="226"/>
      <c r="E34" s="266"/>
      <c r="F34" s="267"/>
      <c r="G34" s="267"/>
      <c r="H34" s="267"/>
      <c r="I34" s="267"/>
      <c r="J34" s="303" t="e">
        <f>IF(AND('Mapa final'!#REF!="Baja",'Mapa final'!#REF!="Leve"),CONCATENATE("R",'Mapa final'!#REF!),"")</f>
        <v>#REF!</v>
      </c>
      <c r="K34" s="301"/>
      <c r="L34" s="301" t="e">
        <f>IF(AND('Mapa final'!#REF!="Baja",'Mapa final'!#REF!="Leve"),CONCATENATE("R",'Mapa final'!#REF!),"")</f>
        <v>#REF!</v>
      </c>
      <c r="M34" s="301"/>
      <c r="N34" s="301" t="e">
        <f>IF(AND('Mapa final'!#REF!="Baja",'Mapa final'!#REF!="Leve"),CONCATENATE("R",'Mapa final'!#REF!),"")</f>
        <v>#REF!</v>
      </c>
      <c r="O34" s="302"/>
      <c r="P34" s="293" t="e">
        <f>IF(AND('Mapa final'!#REF!="Baja",'Mapa final'!#REF!="Menor"),CONCATENATE("R",'Mapa final'!#REF!),"")</f>
        <v>#REF!</v>
      </c>
      <c r="Q34" s="293"/>
      <c r="R34" s="293" t="e">
        <f>IF(AND('Mapa final'!#REF!="Baja",'Mapa final'!#REF!="Menor"),CONCATENATE("R",'Mapa final'!#REF!),"")</f>
        <v>#REF!</v>
      </c>
      <c r="S34" s="293"/>
      <c r="T34" s="293" t="e">
        <f>IF(AND('Mapa final'!#REF!="Baja",'Mapa final'!#REF!="Menor"),CONCATENATE("R",'Mapa final'!#REF!),"")</f>
        <v>#REF!</v>
      </c>
      <c r="U34" s="294"/>
      <c r="V34" s="292" t="e">
        <f>IF(AND('Mapa final'!#REF!="Baja",'Mapa final'!#REF!="Moderado"),CONCATENATE("R",'Mapa final'!#REF!),"")</f>
        <v>#REF!</v>
      </c>
      <c r="W34" s="293"/>
      <c r="X34" s="293" t="e">
        <f>IF(AND('Mapa final'!#REF!="Baja",'Mapa final'!#REF!="Moderado"),CONCATENATE("R",'Mapa final'!#REF!),"")</f>
        <v>#REF!</v>
      </c>
      <c r="Y34" s="293"/>
      <c r="Z34" s="293" t="e">
        <f>IF(AND('Mapa final'!#REF!="Baja",'Mapa final'!#REF!="Moderado"),CONCATENATE("R",'Mapa final'!#REF!),"")</f>
        <v>#REF!</v>
      </c>
      <c r="AA34" s="294"/>
      <c r="AB34" s="276" t="e">
        <f>IF(AND('Mapa final'!#REF!="Baja",'Mapa final'!#REF!="Mayor"),CONCATENATE("R",'Mapa final'!#REF!),"")</f>
        <v>#REF!</v>
      </c>
      <c r="AC34" s="272"/>
      <c r="AD34" s="272" t="e">
        <f>IF(AND('Mapa final'!#REF!="Baja",'Mapa final'!#REF!="Mayor"),CONCATENATE("R",'Mapa final'!#REF!),"")</f>
        <v>#REF!</v>
      </c>
      <c r="AE34" s="272"/>
      <c r="AF34" s="272" t="e">
        <f>IF(AND('Mapa final'!#REF!="Baja",'Mapa final'!#REF!="Mayor"),CONCATENATE("R",'Mapa final'!#REF!),"")</f>
        <v>#REF!</v>
      </c>
      <c r="AG34" s="273"/>
      <c r="AH34" s="283" t="e">
        <f>IF(AND('Mapa final'!#REF!="Baja",'Mapa final'!#REF!="Catastrófico"),CONCATENATE("R",'Mapa final'!#REF!),"")</f>
        <v>#REF!</v>
      </c>
      <c r="AI34" s="284"/>
      <c r="AJ34" s="284" t="e">
        <f>IF(AND('Mapa final'!#REF!="Baja",'Mapa final'!#REF!="Catastrófico"),CONCATENATE("R",'Mapa final'!#REF!),"")</f>
        <v>#REF!</v>
      </c>
      <c r="AK34" s="284"/>
      <c r="AL34" s="284" t="e">
        <f>IF(AND('Mapa final'!#REF!="Baja",'Mapa final'!#REF!="Catastrófico"),CONCATENATE("R",'Mapa final'!#REF!),"")</f>
        <v>#REF!</v>
      </c>
      <c r="AM34" s="285"/>
      <c r="AN34" s="75"/>
      <c r="AO34" s="257"/>
      <c r="AP34" s="258"/>
      <c r="AQ34" s="258"/>
      <c r="AR34" s="258"/>
      <c r="AS34" s="258"/>
      <c r="AT34" s="259"/>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225"/>
      <c r="C35" s="225"/>
      <c r="D35" s="226"/>
      <c r="E35" s="266"/>
      <c r="F35" s="267"/>
      <c r="G35" s="267"/>
      <c r="H35" s="267"/>
      <c r="I35" s="267"/>
      <c r="J35" s="303"/>
      <c r="K35" s="301"/>
      <c r="L35" s="301"/>
      <c r="M35" s="301"/>
      <c r="N35" s="301"/>
      <c r="O35" s="302"/>
      <c r="P35" s="293"/>
      <c r="Q35" s="293"/>
      <c r="R35" s="293"/>
      <c r="S35" s="293"/>
      <c r="T35" s="293"/>
      <c r="U35" s="294"/>
      <c r="V35" s="292"/>
      <c r="W35" s="293"/>
      <c r="X35" s="293"/>
      <c r="Y35" s="293"/>
      <c r="Z35" s="293"/>
      <c r="AA35" s="294"/>
      <c r="AB35" s="276"/>
      <c r="AC35" s="272"/>
      <c r="AD35" s="272"/>
      <c r="AE35" s="272"/>
      <c r="AF35" s="272"/>
      <c r="AG35" s="273"/>
      <c r="AH35" s="283"/>
      <c r="AI35" s="284"/>
      <c r="AJ35" s="284"/>
      <c r="AK35" s="284"/>
      <c r="AL35" s="284"/>
      <c r="AM35" s="285"/>
      <c r="AN35" s="75"/>
      <c r="AO35" s="257"/>
      <c r="AP35" s="258"/>
      <c r="AQ35" s="258"/>
      <c r="AR35" s="258"/>
      <c r="AS35" s="258"/>
      <c r="AT35" s="259"/>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225"/>
      <c r="C36" s="225"/>
      <c r="D36" s="226"/>
      <c r="E36" s="266"/>
      <c r="F36" s="267"/>
      <c r="G36" s="267"/>
      <c r="H36" s="267"/>
      <c r="I36" s="267"/>
      <c r="J36" s="303" t="e">
        <f>IF(AND('Mapa final'!#REF!="Baja",'Mapa final'!#REF!="Leve"),CONCATENATE("R",'Mapa final'!#REF!),"")</f>
        <v>#REF!</v>
      </c>
      <c r="K36" s="301"/>
      <c r="L36" s="301" t="str">
        <f>IF(AND('Mapa final'!$L$16="Baja",'Mapa final'!$P$16="Leve"),CONCATENATE("R",'Mapa final'!$A$16),"")</f>
        <v/>
      </c>
      <c r="M36" s="301"/>
      <c r="N36" s="301" t="str">
        <f>IF(AND('Mapa final'!$L$18="Baja",'Mapa final'!$P$18="Leve"),CONCATENATE("R",'Mapa final'!$A$18),"")</f>
        <v/>
      </c>
      <c r="O36" s="302"/>
      <c r="P36" s="293" t="e">
        <f>IF(AND('Mapa final'!#REF!="Baja",'Mapa final'!#REF!="Menor"),CONCATENATE("R",'Mapa final'!#REF!),"")</f>
        <v>#REF!</v>
      </c>
      <c r="Q36" s="293"/>
      <c r="R36" s="293" t="str">
        <f>IF(AND('Mapa final'!$L$16="Baja",'Mapa final'!$P$16="Menor"),CONCATENATE("R",'Mapa final'!$A$16),"")</f>
        <v/>
      </c>
      <c r="S36" s="293"/>
      <c r="T36" s="293" t="str">
        <f>IF(AND('Mapa final'!$L$18="Baja",'Mapa final'!$P$18="Menor"),CONCATENATE("R",'Mapa final'!$A$18),"")</f>
        <v/>
      </c>
      <c r="U36" s="294"/>
      <c r="V36" s="292" t="e">
        <f>IF(AND('Mapa final'!#REF!="Baja",'Mapa final'!#REF!="Moderado"),CONCATENATE("R",'Mapa final'!#REF!),"")</f>
        <v>#REF!</v>
      </c>
      <c r="W36" s="293"/>
      <c r="X36" s="293" t="str">
        <f>IF(AND('Mapa final'!$L$16="Baja",'Mapa final'!$P$16="Moderado"),CONCATENATE("R",'Mapa final'!$A$16),"")</f>
        <v/>
      </c>
      <c r="Y36" s="293"/>
      <c r="Z36" s="293" t="str">
        <f>IF(AND('Mapa final'!$L$18="Baja",'Mapa final'!$P$18="Moderado"),CONCATENATE("R",'Mapa final'!$A$18),"")</f>
        <v/>
      </c>
      <c r="AA36" s="294"/>
      <c r="AB36" s="276" t="e">
        <f>IF(AND('Mapa final'!#REF!="Baja",'Mapa final'!#REF!="Mayor"),CONCATENATE("R",'Mapa final'!#REF!),"")</f>
        <v>#REF!</v>
      </c>
      <c r="AC36" s="272"/>
      <c r="AD36" s="272" t="str">
        <f>IF(AND('Mapa final'!$L$16="Baja",'Mapa final'!$P$16="Mayor"),CONCATENATE("R",'Mapa final'!$A$16),"")</f>
        <v/>
      </c>
      <c r="AE36" s="272"/>
      <c r="AF36" s="272" t="str">
        <f>IF(AND('Mapa final'!$L$18="Baja",'Mapa final'!$P$18="Mayor"),CONCATENATE("R",'Mapa final'!$A$18),"")</f>
        <v/>
      </c>
      <c r="AG36" s="273"/>
      <c r="AH36" s="283" t="e">
        <f>IF(AND('Mapa final'!#REF!="Baja",'Mapa final'!#REF!="Catastrófico"),CONCATENATE("R",'Mapa final'!#REF!),"")</f>
        <v>#REF!</v>
      </c>
      <c r="AI36" s="284"/>
      <c r="AJ36" s="284" t="str">
        <f>IF(AND('Mapa final'!$L$16="Baja",'Mapa final'!$P$16="Catastrófico"),CONCATENATE("R",'Mapa final'!$A$16),"")</f>
        <v/>
      </c>
      <c r="AK36" s="284"/>
      <c r="AL36" s="284" t="str">
        <f>IF(AND('Mapa final'!$L$18="Baja",'Mapa final'!$P$18="Catastrófico"),CONCATENATE("R",'Mapa final'!$A$18),"")</f>
        <v/>
      </c>
      <c r="AM36" s="285"/>
      <c r="AN36" s="75"/>
      <c r="AO36" s="257"/>
      <c r="AP36" s="258"/>
      <c r="AQ36" s="258"/>
      <c r="AR36" s="258"/>
      <c r="AS36" s="258"/>
      <c r="AT36" s="259"/>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225"/>
      <c r="C37" s="225"/>
      <c r="D37" s="226"/>
      <c r="E37" s="269"/>
      <c r="F37" s="270"/>
      <c r="G37" s="270"/>
      <c r="H37" s="270"/>
      <c r="I37" s="270"/>
      <c r="J37" s="304"/>
      <c r="K37" s="305"/>
      <c r="L37" s="305"/>
      <c r="M37" s="305"/>
      <c r="N37" s="305"/>
      <c r="O37" s="306"/>
      <c r="P37" s="296"/>
      <c r="Q37" s="296"/>
      <c r="R37" s="296"/>
      <c r="S37" s="296"/>
      <c r="T37" s="296"/>
      <c r="U37" s="297"/>
      <c r="V37" s="295"/>
      <c r="W37" s="296"/>
      <c r="X37" s="296"/>
      <c r="Y37" s="296"/>
      <c r="Z37" s="296"/>
      <c r="AA37" s="297"/>
      <c r="AB37" s="280"/>
      <c r="AC37" s="281"/>
      <c r="AD37" s="281"/>
      <c r="AE37" s="281"/>
      <c r="AF37" s="281"/>
      <c r="AG37" s="282"/>
      <c r="AH37" s="286"/>
      <c r="AI37" s="287"/>
      <c r="AJ37" s="287"/>
      <c r="AK37" s="287"/>
      <c r="AL37" s="287"/>
      <c r="AM37" s="288"/>
      <c r="AN37" s="75"/>
      <c r="AO37" s="260"/>
      <c r="AP37" s="261"/>
      <c r="AQ37" s="261"/>
      <c r="AR37" s="261"/>
      <c r="AS37" s="261"/>
      <c r="AT37" s="262"/>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225"/>
      <c r="C38" s="225"/>
      <c r="D38" s="226"/>
      <c r="E38" s="263" t="s">
        <v>112</v>
      </c>
      <c r="F38" s="264"/>
      <c r="G38" s="264"/>
      <c r="H38" s="264"/>
      <c r="I38" s="265"/>
      <c r="J38" s="307" t="e">
        <f>IF(AND('Mapa final'!#REF!="Muy Baja",'Mapa final'!#REF!="Leve"),CONCATENATE("R",'Mapa final'!#REF!),"")</f>
        <v>#REF!</v>
      </c>
      <c r="K38" s="308"/>
      <c r="L38" s="308" t="str">
        <f>IF(AND('Mapa final'!$L$11="Muy Baja",'Mapa final'!$P$11="Leve"),CONCATENATE("R",'Mapa final'!$A$11),"")</f>
        <v>R1</v>
      </c>
      <c r="M38" s="308"/>
      <c r="N38" s="308" t="e">
        <f>IF(AND('Mapa final'!#REF!="Muy Baja",'Mapa final'!#REF!="Leve"),CONCATENATE("R",'Mapa final'!#REF!),"")</f>
        <v>#REF!</v>
      </c>
      <c r="O38" s="309"/>
      <c r="P38" s="307" t="e">
        <f>IF(AND('Mapa final'!#REF!="Muy Baja",'Mapa final'!#REF!="Menor"),CONCATENATE("R",'Mapa final'!#REF!),"")</f>
        <v>#REF!</v>
      </c>
      <c r="Q38" s="308"/>
      <c r="R38" s="308" t="str">
        <f>IF(AND('Mapa final'!$L$11="Muy Baja",'Mapa final'!$P$11="Menor"),CONCATENATE("R",'Mapa final'!$A$11),"")</f>
        <v/>
      </c>
      <c r="S38" s="308"/>
      <c r="T38" s="308" t="e">
        <f>IF(AND('Mapa final'!#REF!="Muy Baja",'Mapa final'!#REF!="Menor"),CONCATENATE("R",'Mapa final'!#REF!),"")</f>
        <v>#REF!</v>
      </c>
      <c r="U38" s="309"/>
      <c r="V38" s="298" t="e">
        <f>IF(AND('Mapa final'!#REF!="Muy Baja",'Mapa final'!#REF!="Moderado"),CONCATENATE("R",'Mapa final'!#REF!),"")</f>
        <v>#REF!</v>
      </c>
      <c r="W38" s="299"/>
      <c r="X38" s="299" t="str">
        <f>IF(AND('Mapa final'!$L$11="Muy Baja",'Mapa final'!$P$11="Moderado"),CONCATENATE("R",'Mapa final'!$A$11),"")</f>
        <v/>
      </c>
      <c r="Y38" s="299"/>
      <c r="Z38" s="299" t="e">
        <f>IF(AND('Mapa final'!#REF!="Muy Baja",'Mapa final'!#REF!="Moderado"),CONCATENATE("R",'Mapa final'!#REF!),"")</f>
        <v>#REF!</v>
      </c>
      <c r="AA38" s="300"/>
      <c r="AB38" s="274" t="e">
        <f>IF(AND('Mapa final'!#REF!="Muy Baja",'Mapa final'!#REF!="Mayor"),CONCATENATE("R",'Mapa final'!#REF!),"")</f>
        <v>#REF!</v>
      </c>
      <c r="AC38" s="275"/>
      <c r="AD38" s="275" t="str">
        <f>IF(AND('Mapa final'!$L$11="Muy Baja",'Mapa final'!$P$11="Mayor"),CONCATENATE("R",'Mapa final'!$A$11),"")</f>
        <v/>
      </c>
      <c r="AE38" s="275"/>
      <c r="AF38" s="275" t="e">
        <f>IF(AND('Mapa final'!#REF!="Muy Baja",'Mapa final'!#REF!="Mayor"),CONCATENATE("R",'Mapa final'!#REF!),"")</f>
        <v>#REF!</v>
      </c>
      <c r="AG38" s="277"/>
      <c r="AH38" s="289" t="e">
        <f>IF(AND('Mapa final'!#REF!="Muy Baja",'Mapa final'!#REF!="Catastrófico"),CONCATENATE("R",'Mapa final'!#REF!),"")</f>
        <v>#REF!</v>
      </c>
      <c r="AI38" s="290"/>
      <c r="AJ38" s="290" t="str">
        <f>IF(AND('Mapa final'!$L$11="Muy Baja",'Mapa final'!$P$11="Catastrófico"),CONCATENATE("R",'Mapa final'!$A$11),"")</f>
        <v/>
      </c>
      <c r="AK38" s="290"/>
      <c r="AL38" s="290" t="e">
        <f>IF(AND('Mapa final'!#REF!="Muy Baja",'Mapa final'!#REF!="Catastrófico"),CONCATENATE("R",'Mapa final'!#REF!),"")</f>
        <v>#REF!</v>
      </c>
      <c r="AM38" s="291"/>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225"/>
      <c r="C39" s="225"/>
      <c r="D39" s="226"/>
      <c r="E39" s="266"/>
      <c r="F39" s="267"/>
      <c r="G39" s="267"/>
      <c r="H39" s="267"/>
      <c r="I39" s="268"/>
      <c r="J39" s="303"/>
      <c r="K39" s="301"/>
      <c r="L39" s="301"/>
      <c r="M39" s="301"/>
      <c r="N39" s="301"/>
      <c r="O39" s="302"/>
      <c r="P39" s="303"/>
      <c r="Q39" s="301"/>
      <c r="R39" s="301"/>
      <c r="S39" s="301"/>
      <c r="T39" s="301"/>
      <c r="U39" s="302"/>
      <c r="V39" s="292"/>
      <c r="W39" s="293"/>
      <c r="X39" s="293"/>
      <c r="Y39" s="293"/>
      <c r="Z39" s="293"/>
      <c r="AA39" s="294"/>
      <c r="AB39" s="276"/>
      <c r="AC39" s="272"/>
      <c r="AD39" s="272"/>
      <c r="AE39" s="272"/>
      <c r="AF39" s="272"/>
      <c r="AG39" s="273"/>
      <c r="AH39" s="283"/>
      <c r="AI39" s="284"/>
      <c r="AJ39" s="284"/>
      <c r="AK39" s="284"/>
      <c r="AL39" s="284"/>
      <c r="AM39" s="28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225"/>
      <c r="C40" s="225"/>
      <c r="D40" s="226"/>
      <c r="E40" s="266"/>
      <c r="F40" s="267"/>
      <c r="G40" s="267"/>
      <c r="H40" s="267"/>
      <c r="I40" s="268"/>
      <c r="J40" s="303" t="e">
        <f>IF(AND('Mapa final'!#REF!="Muy Baja",'Mapa final'!#REF!="Leve"),CONCATENATE("R",'Mapa final'!#REF!),"")</f>
        <v>#REF!</v>
      </c>
      <c r="K40" s="301"/>
      <c r="L40" s="301" t="e">
        <f>IF(AND('Mapa final'!#REF!="Muy Baja",'Mapa final'!#REF!="Leve"),CONCATENATE("R",'Mapa final'!#REF!),"")</f>
        <v>#REF!</v>
      </c>
      <c r="M40" s="301"/>
      <c r="N40" s="301" t="e">
        <f>IF(AND('Mapa final'!#REF!="Muy Baja",'Mapa final'!#REF!="Leve"),CONCATENATE("R",'Mapa final'!#REF!),"")</f>
        <v>#REF!</v>
      </c>
      <c r="O40" s="302"/>
      <c r="P40" s="303" t="e">
        <f>IF(AND('Mapa final'!#REF!="Muy Baja",'Mapa final'!#REF!="Menor"),CONCATENATE("R",'Mapa final'!#REF!),"")</f>
        <v>#REF!</v>
      </c>
      <c r="Q40" s="301"/>
      <c r="R40" s="301" t="e">
        <f>IF(AND('Mapa final'!#REF!="Muy Baja",'Mapa final'!#REF!="Menor"),CONCATENATE("R",'Mapa final'!#REF!),"")</f>
        <v>#REF!</v>
      </c>
      <c r="S40" s="301"/>
      <c r="T40" s="301" t="e">
        <f>IF(AND('Mapa final'!#REF!="Muy Baja",'Mapa final'!#REF!="Menor"),CONCATENATE("R",'Mapa final'!#REF!),"")</f>
        <v>#REF!</v>
      </c>
      <c r="U40" s="302"/>
      <c r="V40" s="292" t="e">
        <f>IF(AND('Mapa final'!#REF!="Muy Baja",'Mapa final'!#REF!="Moderado"),CONCATENATE("R",'Mapa final'!#REF!),"")</f>
        <v>#REF!</v>
      </c>
      <c r="W40" s="293"/>
      <c r="X40" s="293" t="e">
        <f>IF(AND('Mapa final'!#REF!="Muy Baja",'Mapa final'!#REF!="Moderado"),CONCATENATE("R",'Mapa final'!#REF!),"")</f>
        <v>#REF!</v>
      </c>
      <c r="Y40" s="293"/>
      <c r="Z40" s="293" t="e">
        <f>IF(AND('Mapa final'!#REF!="Muy Baja",'Mapa final'!#REF!="Moderado"),CONCATENATE("R",'Mapa final'!#REF!),"")</f>
        <v>#REF!</v>
      </c>
      <c r="AA40" s="294"/>
      <c r="AB40" s="276" t="e">
        <f>IF(AND('Mapa final'!#REF!="Muy Baja",'Mapa final'!#REF!="Mayor"),CONCATENATE("R",'Mapa final'!#REF!),"")</f>
        <v>#REF!</v>
      </c>
      <c r="AC40" s="272"/>
      <c r="AD40" s="272" t="e">
        <f>IF(AND('Mapa final'!#REF!="Muy Baja",'Mapa final'!#REF!="Mayor"),CONCATENATE("R",'Mapa final'!#REF!),"")</f>
        <v>#REF!</v>
      </c>
      <c r="AE40" s="272"/>
      <c r="AF40" s="272" t="e">
        <f>IF(AND('Mapa final'!#REF!="Muy Baja",'Mapa final'!#REF!="Mayor"),CONCATENATE("R",'Mapa final'!#REF!),"")</f>
        <v>#REF!</v>
      </c>
      <c r="AG40" s="273"/>
      <c r="AH40" s="283" t="e">
        <f>IF(AND('Mapa final'!#REF!="Muy Baja",'Mapa final'!#REF!="Catastrófico"),CONCATENATE("R",'Mapa final'!#REF!),"")</f>
        <v>#REF!</v>
      </c>
      <c r="AI40" s="284"/>
      <c r="AJ40" s="284" t="e">
        <f>IF(AND('Mapa final'!#REF!="Muy Baja",'Mapa final'!#REF!="Catastrófico"),CONCATENATE("R",'Mapa final'!#REF!),"")</f>
        <v>#REF!</v>
      </c>
      <c r="AK40" s="284"/>
      <c r="AL40" s="284" t="e">
        <f>IF(AND('Mapa final'!#REF!="Muy Baja",'Mapa final'!#REF!="Catastrófico"),CONCATENATE("R",'Mapa final'!#REF!),"")</f>
        <v>#REF!</v>
      </c>
      <c r="AM40" s="285"/>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225"/>
      <c r="C41" s="225"/>
      <c r="D41" s="226"/>
      <c r="E41" s="266"/>
      <c r="F41" s="267"/>
      <c r="G41" s="267"/>
      <c r="H41" s="267"/>
      <c r="I41" s="268"/>
      <c r="J41" s="303"/>
      <c r="K41" s="301"/>
      <c r="L41" s="301"/>
      <c r="M41" s="301"/>
      <c r="N41" s="301"/>
      <c r="O41" s="302"/>
      <c r="P41" s="303"/>
      <c r="Q41" s="301"/>
      <c r="R41" s="301"/>
      <c r="S41" s="301"/>
      <c r="T41" s="301"/>
      <c r="U41" s="302"/>
      <c r="V41" s="292"/>
      <c r="W41" s="293"/>
      <c r="X41" s="293"/>
      <c r="Y41" s="293"/>
      <c r="Z41" s="293"/>
      <c r="AA41" s="294"/>
      <c r="AB41" s="276"/>
      <c r="AC41" s="272"/>
      <c r="AD41" s="272"/>
      <c r="AE41" s="272"/>
      <c r="AF41" s="272"/>
      <c r="AG41" s="273"/>
      <c r="AH41" s="283"/>
      <c r="AI41" s="284"/>
      <c r="AJ41" s="284"/>
      <c r="AK41" s="284"/>
      <c r="AL41" s="284"/>
      <c r="AM41" s="28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225"/>
      <c r="C42" s="225"/>
      <c r="D42" s="226"/>
      <c r="E42" s="266"/>
      <c r="F42" s="267"/>
      <c r="G42" s="267"/>
      <c r="H42" s="267"/>
      <c r="I42" s="268"/>
      <c r="J42" s="303" t="e">
        <f>IF(AND('Mapa final'!#REF!="Muy Baja",'Mapa final'!#REF!="Leve"),CONCATENATE("R",'Mapa final'!#REF!),"")</f>
        <v>#REF!</v>
      </c>
      <c r="K42" s="301"/>
      <c r="L42" s="301" t="e">
        <f>IF(AND('Mapa final'!#REF!="Muy Baja",'Mapa final'!#REF!="Leve"),CONCATENATE("R",'Mapa final'!#REF!),"")</f>
        <v>#REF!</v>
      </c>
      <c r="M42" s="301"/>
      <c r="N42" s="301" t="e">
        <f>IF(AND('Mapa final'!#REF!="Muy Baja",'Mapa final'!#REF!="Leve"),CONCATENATE("R",'Mapa final'!#REF!),"")</f>
        <v>#REF!</v>
      </c>
      <c r="O42" s="302"/>
      <c r="P42" s="303" t="e">
        <f>IF(AND('Mapa final'!#REF!="Muy Baja",'Mapa final'!#REF!="Menor"),CONCATENATE("R",'Mapa final'!#REF!),"")</f>
        <v>#REF!</v>
      </c>
      <c r="Q42" s="301"/>
      <c r="R42" s="301" t="e">
        <f>IF(AND('Mapa final'!#REF!="Muy Baja",'Mapa final'!#REF!="Menor"),CONCATENATE("R",'Mapa final'!#REF!),"")</f>
        <v>#REF!</v>
      </c>
      <c r="S42" s="301"/>
      <c r="T42" s="301" t="e">
        <f>IF(AND('Mapa final'!#REF!="Muy Baja",'Mapa final'!#REF!="Menor"),CONCATENATE("R",'Mapa final'!#REF!),"")</f>
        <v>#REF!</v>
      </c>
      <c r="U42" s="302"/>
      <c r="V42" s="292" t="e">
        <f>IF(AND('Mapa final'!#REF!="Muy Baja",'Mapa final'!#REF!="Moderado"),CONCATENATE("R",'Mapa final'!#REF!),"")</f>
        <v>#REF!</v>
      </c>
      <c r="W42" s="293"/>
      <c r="X42" s="293" t="e">
        <f>IF(AND('Mapa final'!#REF!="Muy Baja",'Mapa final'!#REF!="Moderado"),CONCATENATE("R",'Mapa final'!#REF!),"")</f>
        <v>#REF!</v>
      </c>
      <c r="Y42" s="293"/>
      <c r="Z42" s="293" t="e">
        <f>IF(AND('Mapa final'!#REF!="Muy Baja",'Mapa final'!#REF!="Moderado"),CONCATENATE("R",'Mapa final'!#REF!),"")</f>
        <v>#REF!</v>
      </c>
      <c r="AA42" s="294"/>
      <c r="AB42" s="276" t="e">
        <f>IF(AND('Mapa final'!#REF!="Muy Baja",'Mapa final'!#REF!="Mayor"),CONCATENATE("R",'Mapa final'!#REF!),"")</f>
        <v>#REF!</v>
      </c>
      <c r="AC42" s="272"/>
      <c r="AD42" s="272" t="e">
        <f>IF(AND('Mapa final'!#REF!="Muy Baja",'Mapa final'!#REF!="Mayor"),CONCATENATE("R",'Mapa final'!#REF!),"")</f>
        <v>#REF!</v>
      </c>
      <c r="AE42" s="272"/>
      <c r="AF42" s="272" t="e">
        <f>IF(AND('Mapa final'!#REF!="Muy Baja",'Mapa final'!#REF!="Mayor"),CONCATENATE("R",'Mapa final'!#REF!),"")</f>
        <v>#REF!</v>
      </c>
      <c r="AG42" s="273"/>
      <c r="AH42" s="283" t="e">
        <f>IF(AND('Mapa final'!#REF!="Muy Baja",'Mapa final'!#REF!="Catastrófico"),CONCATENATE("R",'Mapa final'!#REF!),"")</f>
        <v>#REF!</v>
      </c>
      <c r="AI42" s="284"/>
      <c r="AJ42" s="284" t="e">
        <f>IF(AND('Mapa final'!#REF!="Muy Baja",'Mapa final'!#REF!="Catastrófico"),CONCATENATE("R",'Mapa final'!#REF!),"")</f>
        <v>#REF!</v>
      </c>
      <c r="AK42" s="284"/>
      <c r="AL42" s="284" t="e">
        <f>IF(AND('Mapa final'!#REF!="Muy Baja",'Mapa final'!#REF!="Catastrófico"),CONCATENATE("R",'Mapa final'!#REF!),"")</f>
        <v>#REF!</v>
      </c>
      <c r="AM42" s="28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225"/>
      <c r="C43" s="225"/>
      <c r="D43" s="226"/>
      <c r="E43" s="266"/>
      <c r="F43" s="267"/>
      <c r="G43" s="267"/>
      <c r="H43" s="267"/>
      <c r="I43" s="268"/>
      <c r="J43" s="303"/>
      <c r="K43" s="301"/>
      <c r="L43" s="301"/>
      <c r="M43" s="301"/>
      <c r="N43" s="301"/>
      <c r="O43" s="302"/>
      <c r="P43" s="303"/>
      <c r="Q43" s="301"/>
      <c r="R43" s="301"/>
      <c r="S43" s="301"/>
      <c r="T43" s="301"/>
      <c r="U43" s="302"/>
      <c r="V43" s="292"/>
      <c r="W43" s="293"/>
      <c r="X43" s="293"/>
      <c r="Y43" s="293"/>
      <c r="Z43" s="293"/>
      <c r="AA43" s="294"/>
      <c r="AB43" s="276"/>
      <c r="AC43" s="272"/>
      <c r="AD43" s="272"/>
      <c r="AE43" s="272"/>
      <c r="AF43" s="272"/>
      <c r="AG43" s="273"/>
      <c r="AH43" s="283"/>
      <c r="AI43" s="284"/>
      <c r="AJ43" s="284"/>
      <c r="AK43" s="284"/>
      <c r="AL43" s="284"/>
      <c r="AM43" s="28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225"/>
      <c r="C44" s="225"/>
      <c r="D44" s="226"/>
      <c r="E44" s="266"/>
      <c r="F44" s="267"/>
      <c r="G44" s="267"/>
      <c r="H44" s="267"/>
      <c r="I44" s="268"/>
      <c r="J44" s="303" t="e">
        <f>IF(AND('Mapa final'!#REF!="Muy Baja",'Mapa final'!#REF!="Leve"),CONCATENATE("R",'Mapa final'!#REF!),"")</f>
        <v>#REF!</v>
      </c>
      <c r="K44" s="301"/>
      <c r="L44" s="301" t="str">
        <f>IF(AND('Mapa final'!$L$16="Muy Baja",'Mapa final'!$P$16="Leve"),CONCATENATE("R",'Mapa final'!$A$16),"")</f>
        <v/>
      </c>
      <c r="M44" s="301"/>
      <c r="N44" s="301" t="str">
        <f>IF(AND('Mapa final'!$L$18="Muy Baja",'Mapa final'!$P$18="Leve"),CONCATENATE("R",'Mapa final'!$A$18),"")</f>
        <v/>
      </c>
      <c r="O44" s="302"/>
      <c r="P44" s="303" t="e">
        <f>IF(AND('Mapa final'!#REF!="Muy Baja",'Mapa final'!#REF!="Menor"),CONCATENATE("R",'Mapa final'!#REF!),"")</f>
        <v>#REF!</v>
      </c>
      <c r="Q44" s="301"/>
      <c r="R44" s="301" t="str">
        <f>IF(AND('Mapa final'!$L$16="Muy Baja",'Mapa final'!$P$16="Menor"),CONCATENATE("R",'Mapa final'!$A$16),"")</f>
        <v/>
      </c>
      <c r="S44" s="301"/>
      <c r="T44" s="301" t="str">
        <f>IF(AND('Mapa final'!$L$18="Muy Baja",'Mapa final'!$P$18="Menor"),CONCATENATE("R",'Mapa final'!$A$18),"")</f>
        <v/>
      </c>
      <c r="U44" s="302"/>
      <c r="V44" s="292" t="e">
        <f>IF(AND('Mapa final'!#REF!="Muy Baja",'Mapa final'!#REF!="Moderado"),CONCATENATE("R",'Mapa final'!#REF!),"")</f>
        <v>#REF!</v>
      </c>
      <c r="W44" s="293"/>
      <c r="X44" s="293" t="str">
        <f>IF(AND('Mapa final'!$L$16="Muy Baja",'Mapa final'!$P$16="Moderado"),CONCATENATE("R",'Mapa final'!$A$16),"")</f>
        <v/>
      </c>
      <c r="Y44" s="293"/>
      <c r="Z44" s="293" t="str">
        <f>IF(AND('Mapa final'!$L$18="Muy Baja",'Mapa final'!$P$18="Moderado"),CONCATENATE("R",'Mapa final'!$A$18),"")</f>
        <v/>
      </c>
      <c r="AA44" s="294"/>
      <c r="AB44" s="276" t="e">
        <f>IF(AND('Mapa final'!#REF!="Muy Baja",'Mapa final'!#REF!="Mayor"),CONCATENATE("R",'Mapa final'!#REF!),"")</f>
        <v>#REF!</v>
      </c>
      <c r="AC44" s="272"/>
      <c r="AD44" s="272" t="str">
        <f>IF(AND('Mapa final'!$L$16="Muy Baja",'Mapa final'!$P$16="Mayor"),CONCATENATE("R",'Mapa final'!$A$16),"")</f>
        <v/>
      </c>
      <c r="AE44" s="272"/>
      <c r="AF44" s="272" t="str">
        <f>IF(AND('Mapa final'!$L$18="Muy Baja",'Mapa final'!$P$18="Mayor"),CONCATENATE("R",'Mapa final'!$A$18),"")</f>
        <v/>
      </c>
      <c r="AG44" s="273"/>
      <c r="AH44" s="283" t="e">
        <f>IF(AND('Mapa final'!#REF!="Muy Baja",'Mapa final'!#REF!="Catastrófico"),CONCATENATE("R",'Mapa final'!#REF!),"")</f>
        <v>#REF!</v>
      </c>
      <c r="AI44" s="284"/>
      <c r="AJ44" s="284" t="str">
        <f>IF(AND('Mapa final'!$L$16="Muy Baja",'Mapa final'!$P$16="Catastrófico"),CONCATENATE("R",'Mapa final'!$A$16),"")</f>
        <v/>
      </c>
      <c r="AK44" s="284"/>
      <c r="AL44" s="284" t="str">
        <f>IF(AND('Mapa final'!$L$18="Muy Baja",'Mapa final'!$P$18="Catastrófico"),CONCATENATE("R",'Mapa final'!$A$18),"")</f>
        <v/>
      </c>
      <c r="AM44" s="28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225"/>
      <c r="C45" s="225"/>
      <c r="D45" s="226"/>
      <c r="E45" s="269"/>
      <c r="F45" s="270"/>
      <c r="G45" s="270"/>
      <c r="H45" s="270"/>
      <c r="I45" s="271"/>
      <c r="J45" s="304"/>
      <c r="K45" s="305"/>
      <c r="L45" s="305"/>
      <c r="M45" s="305"/>
      <c r="N45" s="305"/>
      <c r="O45" s="306"/>
      <c r="P45" s="304"/>
      <c r="Q45" s="305"/>
      <c r="R45" s="305"/>
      <c r="S45" s="305"/>
      <c r="T45" s="305"/>
      <c r="U45" s="306"/>
      <c r="V45" s="295"/>
      <c r="W45" s="296"/>
      <c r="X45" s="296"/>
      <c r="Y45" s="296"/>
      <c r="Z45" s="296"/>
      <c r="AA45" s="297"/>
      <c r="AB45" s="280"/>
      <c r="AC45" s="281"/>
      <c r="AD45" s="281"/>
      <c r="AE45" s="281"/>
      <c r="AF45" s="281"/>
      <c r="AG45" s="282"/>
      <c r="AH45" s="286"/>
      <c r="AI45" s="287"/>
      <c r="AJ45" s="287"/>
      <c r="AK45" s="287"/>
      <c r="AL45" s="287"/>
      <c r="AM45" s="288"/>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63" t="s">
        <v>111</v>
      </c>
      <c r="K46" s="264"/>
      <c r="L46" s="264"/>
      <c r="M46" s="264"/>
      <c r="N46" s="264"/>
      <c r="O46" s="265"/>
      <c r="P46" s="263" t="s">
        <v>110</v>
      </c>
      <c r="Q46" s="264"/>
      <c r="R46" s="264"/>
      <c r="S46" s="264"/>
      <c r="T46" s="264"/>
      <c r="U46" s="265"/>
      <c r="V46" s="263" t="s">
        <v>109</v>
      </c>
      <c r="W46" s="264"/>
      <c r="X46" s="264"/>
      <c r="Y46" s="264"/>
      <c r="Z46" s="264"/>
      <c r="AA46" s="265"/>
      <c r="AB46" s="263" t="s">
        <v>108</v>
      </c>
      <c r="AC46" s="279"/>
      <c r="AD46" s="264"/>
      <c r="AE46" s="264"/>
      <c r="AF46" s="264"/>
      <c r="AG46" s="265"/>
      <c r="AH46" s="263" t="s">
        <v>107</v>
      </c>
      <c r="AI46" s="264"/>
      <c r="AJ46" s="264"/>
      <c r="AK46" s="264"/>
      <c r="AL46" s="264"/>
      <c r="AM46" s="265"/>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66"/>
      <c r="K47" s="267"/>
      <c r="L47" s="267"/>
      <c r="M47" s="267"/>
      <c r="N47" s="267"/>
      <c r="O47" s="268"/>
      <c r="P47" s="266"/>
      <c r="Q47" s="267"/>
      <c r="R47" s="267"/>
      <c r="S47" s="267"/>
      <c r="T47" s="267"/>
      <c r="U47" s="268"/>
      <c r="V47" s="266"/>
      <c r="W47" s="267"/>
      <c r="X47" s="267"/>
      <c r="Y47" s="267"/>
      <c r="Z47" s="267"/>
      <c r="AA47" s="268"/>
      <c r="AB47" s="266"/>
      <c r="AC47" s="267"/>
      <c r="AD47" s="267"/>
      <c r="AE47" s="267"/>
      <c r="AF47" s="267"/>
      <c r="AG47" s="268"/>
      <c r="AH47" s="266"/>
      <c r="AI47" s="267"/>
      <c r="AJ47" s="267"/>
      <c r="AK47" s="267"/>
      <c r="AL47" s="267"/>
      <c r="AM47" s="268"/>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66"/>
      <c r="K48" s="267"/>
      <c r="L48" s="267"/>
      <c r="M48" s="267"/>
      <c r="N48" s="267"/>
      <c r="O48" s="268"/>
      <c r="P48" s="266"/>
      <c r="Q48" s="267"/>
      <c r="R48" s="267"/>
      <c r="S48" s="267"/>
      <c r="T48" s="267"/>
      <c r="U48" s="268"/>
      <c r="V48" s="266"/>
      <c r="W48" s="267"/>
      <c r="X48" s="267"/>
      <c r="Y48" s="267"/>
      <c r="Z48" s="267"/>
      <c r="AA48" s="268"/>
      <c r="AB48" s="266"/>
      <c r="AC48" s="267"/>
      <c r="AD48" s="267"/>
      <c r="AE48" s="267"/>
      <c r="AF48" s="267"/>
      <c r="AG48" s="268"/>
      <c r="AH48" s="266"/>
      <c r="AI48" s="267"/>
      <c r="AJ48" s="267"/>
      <c r="AK48" s="267"/>
      <c r="AL48" s="267"/>
      <c r="AM48" s="268"/>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66"/>
      <c r="K49" s="267"/>
      <c r="L49" s="267"/>
      <c r="M49" s="267"/>
      <c r="N49" s="267"/>
      <c r="O49" s="268"/>
      <c r="P49" s="266"/>
      <c r="Q49" s="267"/>
      <c r="R49" s="267"/>
      <c r="S49" s="267"/>
      <c r="T49" s="267"/>
      <c r="U49" s="268"/>
      <c r="V49" s="266"/>
      <c r="W49" s="267"/>
      <c r="X49" s="267"/>
      <c r="Y49" s="267"/>
      <c r="Z49" s="267"/>
      <c r="AA49" s="268"/>
      <c r="AB49" s="266"/>
      <c r="AC49" s="267"/>
      <c r="AD49" s="267"/>
      <c r="AE49" s="267"/>
      <c r="AF49" s="267"/>
      <c r="AG49" s="268"/>
      <c r="AH49" s="266"/>
      <c r="AI49" s="267"/>
      <c r="AJ49" s="267"/>
      <c r="AK49" s="267"/>
      <c r="AL49" s="267"/>
      <c r="AM49" s="268"/>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66"/>
      <c r="K50" s="267"/>
      <c r="L50" s="267"/>
      <c r="M50" s="267"/>
      <c r="N50" s="267"/>
      <c r="O50" s="268"/>
      <c r="P50" s="266"/>
      <c r="Q50" s="267"/>
      <c r="R50" s="267"/>
      <c r="S50" s="267"/>
      <c r="T50" s="267"/>
      <c r="U50" s="268"/>
      <c r="V50" s="266"/>
      <c r="W50" s="267"/>
      <c r="X50" s="267"/>
      <c r="Y50" s="267"/>
      <c r="Z50" s="267"/>
      <c r="AA50" s="268"/>
      <c r="AB50" s="266"/>
      <c r="AC50" s="267"/>
      <c r="AD50" s="267"/>
      <c r="AE50" s="267"/>
      <c r="AF50" s="267"/>
      <c r="AG50" s="268"/>
      <c r="AH50" s="266"/>
      <c r="AI50" s="267"/>
      <c r="AJ50" s="267"/>
      <c r="AK50" s="267"/>
      <c r="AL50" s="267"/>
      <c r="AM50" s="268"/>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69"/>
      <c r="K51" s="270"/>
      <c r="L51" s="270"/>
      <c r="M51" s="270"/>
      <c r="N51" s="270"/>
      <c r="O51" s="271"/>
      <c r="P51" s="269"/>
      <c r="Q51" s="270"/>
      <c r="R51" s="270"/>
      <c r="S51" s="270"/>
      <c r="T51" s="270"/>
      <c r="U51" s="271"/>
      <c r="V51" s="269"/>
      <c r="W51" s="270"/>
      <c r="X51" s="270"/>
      <c r="Y51" s="270"/>
      <c r="Z51" s="270"/>
      <c r="AA51" s="271"/>
      <c r="AB51" s="269"/>
      <c r="AC51" s="270"/>
      <c r="AD51" s="270"/>
      <c r="AE51" s="270"/>
      <c r="AF51" s="270"/>
      <c r="AG51" s="271"/>
      <c r="AH51" s="269"/>
      <c r="AI51" s="270"/>
      <c r="AJ51" s="270"/>
      <c r="AK51" s="270"/>
      <c r="AL51" s="270"/>
      <c r="AM51" s="271"/>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36" t="s">
        <v>157</v>
      </c>
      <c r="C2" s="337"/>
      <c r="D2" s="337"/>
      <c r="E2" s="337"/>
      <c r="F2" s="337"/>
      <c r="G2" s="337"/>
      <c r="H2" s="337"/>
      <c r="I2" s="337"/>
      <c r="J2" s="278" t="s">
        <v>2</v>
      </c>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37"/>
      <c r="C3" s="337"/>
      <c r="D3" s="337"/>
      <c r="E3" s="337"/>
      <c r="F3" s="337"/>
      <c r="G3" s="337"/>
      <c r="H3" s="337"/>
      <c r="I3" s="337"/>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278"/>
      <c r="AL3" s="278"/>
      <c r="AM3" s="278"/>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37"/>
      <c r="C4" s="337"/>
      <c r="D4" s="337"/>
      <c r="E4" s="337"/>
      <c r="F4" s="337"/>
      <c r="G4" s="337"/>
      <c r="H4" s="337"/>
      <c r="I4" s="337"/>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c r="AM4" s="278"/>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225" t="s">
        <v>4</v>
      </c>
      <c r="C6" s="225"/>
      <c r="D6" s="226"/>
      <c r="E6" s="320" t="s">
        <v>115</v>
      </c>
      <c r="F6" s="321"/>
      <c r="G6" s="321"/>
      <c r="H6" s="321"/>
      <c r="I6" s="338"/>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27" t="s">
        <v>78</v>
      </c>
      <c r="AP6" s="328"/>
      <c r="AQ6" s="328"/>
      <c r="AR6" s="328"/>
      <c r="AS6" s="328"/>
      <c r="AT6" s="329"/>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225"/>
      <c r="C7" s="225"/>
      <c r="D7" s="226"/>
      <c r="E7" s="324"/>
      <c r="F7" s="323"/>
      <c r="G7" s="323"/>
      <c r="H7" s="323"/>
      <c r="I7" s="339"/>
      <c r="J7" s="44" t="str">
        <f>IF(AND('Mapa final'!$AD$11="Muy Alta",'Mapa final'!$AF$11="Leve"),CONCATENATE("R2C",'Mapa final'!$S$11),"")</f>
        <v/>
      </c>
      <c r="K7" s="45" t="str">
        <f>IF(AND('Mapa final'!$AD$15="Muy Alta",'Mapa final'!$AF$15="Leve"),CONCATENATE("R2C",'Mapa final'!$S$15),"")</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final'!$AD$15="Muy Alta",'Mapa final'!$AF$15="Menor"),CONCATENATE("R2C",'Mapa final'!$S$15),"")</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final'!$AD$15="Muy Alta",'Mapa final'!$AF$15="Moderado"),CONCATENATE("R2C",'Mapa final'!$S$15),"")</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final'!$AD$15="Muy Alta",'Mapa final'!$AF$15="Mayor"),CONCATENATE("R2C",'Mapa final'!$S$15),"")</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final'!$AD$15="Muy Alta",'Mapa final'!$AF$15="Catastrófico"),CONCATENATE("R2C",'Mapa final'!$S$15),"")</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30"/>
      <c r="AP7" s="331"/>
      <c r="AQ7" s="331"/>
      <c r="AR7" s="331"/>
      <c r="AS7" s="331"/>
      <c r="AT7" s="332"/>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225"/>
      <c r="C8" s="225"/>
      <c r="D8" s="226"/>
      <c r="E8" s="324"/>
      <c r="F8" s="323"/>
      <c r="G8" s="323"/>
      <c r="H8" s="323"/>
      <c r="I8" s="339"/>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30"/>
      <c r="AP8" s="331"/>
      <c r="AQ8" s="331"/>
      <c r="AR8" s="331"/>
      <c r="AS8" s="331"/>
      <c r="AT8" s="332"/>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225"/>
      <c r="C9" s="225"/>
      <c r="D9" s="226"/>
      <c r="E9" s="324"/>
      <c r="F9" s="323"/>
      <c r="G9" s="323"/>
      <c r="H9" s="323"/>
      <c r="I9" s="339"/>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30"/>
      <c r="AP9" s="331"/>
      <c r="AQ9" s="331"/>
      <c r="AR9" s="331"/>
      <c r="AS9" s="331"/>
      <c r="AT9" s="332"/>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225"/>
      <c r="C10" s="225"/>
      <c r="D10" s="226"/>
      <c r="E10" s="324"/>
      <c r="F10" s="323"/>
      <c r="G10" s="323"/>
      <c r="H10" s="323"/>
      <c r="I10" s="339"/>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30"/>
      <c r="AP10" s="331"/>
      <c r="AQ10" s="331"/>
      <c r="AR10" s="331"/>
      <c r="AS10" s="331"/>
      <c r="AT10" s="332"/>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225"/>
      <c r="C11" s="225"/>
      <c r="D11" s="226"/>
      <c r="E11" s="324"/>
      <c r="F11" s="323"/>
      <c r="G11" s="323"/>
      <c r="H11" s="323"/>
      <c r="I11" s="339"/>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30"/>
      <c r="AP11" s="331"/>
      <c r="AQ11" s="331"/>
      <c r="AR11" s="331"/>
      <c r="AS11" s="331"/>
      <c r="AT11" s="332"/>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225"/>
      <c r="C12" s="225"/>
      <c r="D12" s="226"/>
      <c r="E12" s="324"/>
      <c r="F12" s="323"/>
      <c r="G12" s="323"/>
      <c r="H12" s="323"/>
      <c r="I12" s="339"/>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30"/>
      <c r="AP12" s="331"/>
      <c r="AQ12" s="331"/>
      <c r="AR12" s="331"/>
      <c r="AS12" s="331"/>
      <c r="AT12" s="332"/>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225"/>
      <c r="C13" s="225"/>
      <c r="D13" s="226"/>
      <c r="E13" s="324"/>
      <c r="F13" s="323"/>
      <c r="G13" s="323"/>
      <c r="H13" s="323"/>
      <c r="I13" s="339"/>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30"/>
      <c r="AP13" s="331"/>
      <c r="AQ13" s="331"/>
      <c r="AR13" s="331"/>
      <c r="AS13" s="331"/>
      <c r="AT13" s="332"/>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225"/>
      <c r="C14" s="225"/>
      <c r="D14" s="226"/>
      <c r="E14" s="324"/>
      <c r="F14" s="323"/>
      <c r="G14" s="323"/>
      <c r="H14" s="323"/>
      <c r="I14" s="339"/>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30"/>
      <c r="AP14" s="331"/>
      <c r="AQ14" s="331"/>
      <c r="AR14" s="331"/>
      <c r="AS14" s="331"/>
      <c r="AT14" s="332"/>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225"/>
      <c r="C15" s="225"/>
      <c r="D15" s="226"/>
      <c r="E15" s="325"/>
      <c r="F15" s="326"/>
      <c r="G15" s="326"/>
      <c r="H15" s="326"/>
      <c r="I15" s="340"/>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33"/>
      <c r="AP15" s="334"/>
      <c r="AQ15" s="334"/>
      <c r="AR15" s="334"/>
      <c r="AS15" s="334"/>
      <c r="AT15" s="33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225"/>
      <c r="C16" s="225"/>
      <c r="D16" s="226"/>
      <c r="E16" s="320" t="s">
        <v>114</v>
      </c>
      <c r="F16" s="321"/>
      <c r="G16" s="321"/>
      <c r="H16" s="321"/>
      <c r="I16" s="321"/>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11" t="s">
        <v>79</v>
      </c>
      <c r="AP16" s="312"/>
      <c r="AQ16" s="312"/>
      <c r="AR16" s="312"/>
      <c r="AS16" s="312"/>
      <c r="AT16" s="313"/>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225"/>
      <c r="C17" s="225"/>
      <c r="D17" s="226"/>
      <c r="E17" s="322"/>
      <c r="F17" s="323"/>
      <c r="G17" s="323"/>
      <c r="H17" s="323"/>
      <c r="I17" s="323"/>
      <c r="J17" s="59" t="str">
        <f>IF(AND('Mapa final'!$AD$11="Alta",'Mapa final'!$AF$11="Leve"),CONCATENATE("R2C",'Mapa final'!$S$11),"")</f>
        <v/>
      </c>
      <c r="K17" s="60" t="str">
        <f>IF(AND('Mapa final'!$AD$15="Alta",'Mapa final'!$AF$15="Leve"),CONCATENATE("R2C",'Mapa final'!$S$15),"")</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final'!$AD$11="Alta",'Mapa final'!$AF$11="Menor"),CONCATENATE("R2C",'Mapa final'!$S$11),"")</f>
        <v/>
      </c>
      <c r="Q17" s="60" t="str">
        <f>IF(AND('Mapa final'!$AD$15="Alta",'Mapa final'!$AF$15="Menor"),CONCATENATE("R2C",'Mapa final'!$S$15),"")</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final'!$AD$11="Alta",'Mapa final'!$AF$11="Moderado"),CONCATENATE("R2C",'Mapa final'!$S$11),"")</f>
        <v/>
      </c>
      <c r="W17" s="45" t="str">
        <f>IF(AND('Mapa final'!$AD$15="Alta",'Mapa final'!$AF$15="Moderado"),CONCATENATE("R2C",'Mapa final'!$S$15),"")</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final'!$AD$15="Alta",'Mapa final'!$AF$15="Mayor"),CONCATENATE("R2C",'Mapa final'!$S$15),"")</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final'!$AD$15="Alta",'Mapa final'!$AF$15="Catastrófico"),CONCATENATE("R2C",'Mapa final'!$S$15),"")</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14"/>
      <c r="AP17" s="315"/>
      <c r="AQ17" s="315"/>
      <c r="AR17" s="315"/>
      <c r="AS17" s="315"/>
      <c r="AT17" s="316"/>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225"/>
      <c r="C18" s="225"/>
      <c r="D18" s="226"/>
      <c r="E18" s="324"/>
      <c r="F18" s="323"/>
      <c r="G18" s="323"/>
      <c r="H18" s="323"/>
      <c r="I18" s="323"/>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14"/>
      <c r="AP18" s="315"/>
      <c r="AQ18" s="315"/>
      <c r="AR18" s="315"/>
      <c r="AS18" s="315"/>
      <c r="AT18" s="316"/>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225"/>
      <c r="C19" s="225"/>
      <c r="D19" s="226"/>
      <c r="E19" s="324"/>
      <c r="F19" s="323"/>
      <c r="G19" s="323"/>
      <c r="H19" s="323"/>
      <c r="I19" s="323"/>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14"/>
      <c r="AP19" s="315"/>
      <c r="AQ19" s="315"/>
      <c r="AR19" s="315"/>
      <c r="AS19" s="315"/>
      <c r="AT19" s="316"/>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225"/>
      <c r="C20" s="225"/>
      <c r="D20" s="226"/>
      <c r="E20" s="324"/>
      <c r="F20" s="323"/>
      <c r="G20" s="323"/>
      <c r="H20" s="323"/>
      <c r="I20" s="323"/>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14"/>
      <c r="AP20" s="315"/>
      <c r="AQ20" s="315"/>
      <c r="AR20" s="315"/>
      <c r="AS20" s="315"/>
      <c r="AT20" s="316"/>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225"/>
      <c r="C21" s="225"/>
      <c r="D21" s="226"/>
      <c r="E21" s="324"/>
      <c r="F21" s="323"/>
      <c r="G21" s="323"/>
      <c r="H21" s="323"/>
      <c r="I21" s="323"/>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14"/>
      <c r="AP21" s="315"/>
      <c r="AQ21" s="315"/>
      <c r="AR21" s="315"/>
      <c r="AS21" s="315"/>
      <c r="AT21" s="316"/>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225"/>
      <c r="C22" s="225"/>
      <c r="D22" s="226"/>
      <c r="E22" s="324"/>
      <c r="F22" s="323"/>
      <c r="G22" s="323"/>
      <c r="H22" s="323"/>
      <c r="I22" s="323"/>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14"/>
      <c r="AP22" s="315"/>
      <c r="AQ22" s="315"/>
      <c r="AR22" s="315"/>
      <c r="AS22" s="315"/>
      <c r="AT22" s="316"/>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225"/>
      <c r="C23" s="225"/>
      <c r="D23" s="226"/>
      <c r="E23" s="324"/>
      <c r="F23" s="323"/>
      <c r="G23" s="323"/>
      <c r="H23" s="323"/>
      <c r="I23" s="323"/>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14"/>
      <c r="AP23" s="315"/>
      <c r="AQ23" s="315"/>
      <c r="AR23" s="315"/>
      <c r="AS23" s="315"/>
      <c r="AT23" s="316"/>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225"/>
      <c r="C24" s="225"/>
      <c r="D24" s="226"/>
      <c r="E24" s="324"/>
      <c r="F24" s="323"/>
      <c r="G24" s="323"/>
      <c r="H24" s="323"/>
      <c r="I24" s="323"/>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14"/>
      <c r="AP24" s="315"/>
      <c r="AQ24" s="315"/>
      <c r="AR24" s="315"/>
      <c r="AS24" s="315"/>
      <c r="AT24" s="316"/>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225"/>
      <c r="C25" s="225"/>
      <c r="D25" s="226"/>
      <c r="E25" s="325"/>
      <c r="F25" s="326"/>
      <c r="G25" s="326"/>
      <c r="H25" s="326"/>
      <c r="I25" s="326"/>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17"/>
      <c r="AP25" s="318"/>
      <c r="AQ25" s="318"/>
      <c r="AR25" s="318"/>
      <c r="AS25" s="318"/>
      <c r="AT25" s="319"/>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225"/>
      <c r="C26" s="225"/>
      <c r="D26" s="226"/>
      <c r="E26" s="320" t="s">
        <v>116</v>
      </c>
      <c r="F26" s="321"/>
      <c r="G26" s="321"/>
      <c r="H26" s="321"/>
      <c r="I26" s="338"/>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50" t="s">
        <v>80</v>
      </c>
      <c r="AP26" s="351"/>
      <c r="AQ26" s="351"/>
      <c r="AR26" s="351"/>
      <c r="AS26" s="351"/>
      <c r="AT26" s="352"/>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225"/>
      <c r="C27" s="225"/>
      <c r="D27" s="226"/>
      <c r="E27" s="322"/>
      <c r="F27" s="323"/>
      <c r="G27" s="323"/>
      <c r="H27" s="323"/>
      <c r="I27" s="339"/>
      <c r="J27" s="59" t="str">
        <f>IF(AND('Mapa final'!$AD$11="Media",'Mapa final'!$AF$11="Leve"),CONCATENATE("R2C",'Mapa final'!$S$11),"")</f>
        <v/>
      </c>
      <c r="K27" s="60" t="str">
        <f>IF(AND('Mapa final'!$AD$15="Media",'Mapa final'!$AF$15="Leve"),CONCATENATE("R2C",'Mapa final'!$S$15),"")</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final'!$AD$11="Media",'Mapa final'!$AF$11="Menor"),CONCATENATE("R2C",'Mapa final'!$S$11),"")</f>
        <v/>
      </c>
      <c r="Q27" s="60" t="str">
        <f>IF(AND('Mapa final'!$AD$15="Media",'Mapa final'!$AF$15="Menor"),CONCATENATE("R2C",'Mapa final'!$S$15),"")</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final'!$AD$11="Media",'Mapa final'!$AF$11="Moderado"),CONCATENATE("R2C",'Mapa final'!$S$11),"")</f>
        <v/>
      </c>
      <c r="W27" s="60" t="str">
        <f>IF(AND('Mapa final'!$AD$15="Media",'Mapa final'!$AF$15="Moderado"),CONCATENATE("R2C",'Mapa final'!$S$15),"")</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final'!$AD$11="Media",'Mapa final'!$AF$11="Mayor"),CONCATENATE("R2C",'Mapa final'!$S$11),"")</f>
        <v/>
      </c>
      <c r="AC27" s="45" t="str">
        <f>IF(AND('Mapa final'!$AD$15="Media",'Mapa final'!$AF$15="Mayor"),CONCATENATE("R2C",'Mapa final'!$S$15),"")</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final'!$AD$15="Media",'Mapa final'!$AF$15="Catastrófico"),CONCATENATE("R2C",'Mapa final'!$S$15),"")</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53"/>
      <c r="AP27" s="354"/>
      <c r="AQ27" s="354"/>
      <c r="AR27" s="354"/>
      <c r="AS27" s="354"/>
      <c r="AT27" s="35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225"/>
      <c r="C28" s="225"/>
      <c r="D28" s="226"/>
      <c r="E28" s="324"/>
      <c r="F28" s="323"/>
      <c r="G28" s="323"/>
      <c r="H28" s="323"/>
      <c r="I28" s="339"/>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53"/>
      <c r="AP28" s="354"/>
      <c r="AQ28" s="354"/>
      <c r="AR28" s="354"/>
      <c r="AS28" s="354"/>
      <c r="AT28" s="35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225"/>
      <c r="C29" s="225"/>
      <c r="D29" s="226"/>
      <c r="E29" s="324"/>
      <c r="F29" s="323"/>
      <c r="G29" s="323"/>
      <c r="H29" s="323"/>
      <c r="I29" s="339"/>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53"/>
      <c r="AP29" s="354"/>
      <c r="AQ29" s="354"/>
      <c r="AR29" s="354"/>
      <c r="AS29" s="354"/>
      <c r="AT29" s="35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225"/>
      <c r="C30" s="225"/>
      <c r="D30" s="226"/>
      <c r="E30" s="324"/>
      <c r="F30" s="323"/>
      <c r="G30" s="323"/>
      <c r="H30" s="323"/>
      <c r="I30" s="339"/>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53"/>
      <c r="AP30" s="354"/>
      <c r="AQ30" s="354"/>
      <c r="AR30" s="354"/>
      <c r="AS30" s="354"/>
      <c r="AT30" s="35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225"/>
      <c r="C31" s="225"/>
      <c r="D31" s="226"/>
      <c r="E31" s="324"/>
      <c r="F31" s="323"/>
      <c r="G31" s="323"/>
      <c r="H31" s="323"/>
      <c r="I31" s="339"/>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53"/>
      <c r="AP31" s="354"/>
      <c r="AQ31" s="354"/>
      <c r="AR31" s="354"/>
      <c r="AS31" s="354"/>
      <c r="AT31" s="35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225"/>
      <c r="C32" s="225"/>
      <c r="D32" s="226"/>
      <c r="E32" s="324"/>
      <c r="F32" s="323"/>
      <c r="G32" s="323"/>
      <c r="H32" s="323"/>
      <c r="I32" s="339"/>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53"/>
      <c r="AP32" s="354"/>
      <c r="AQ32" s="354"/>
      <c r="AR32" s="354"/>
      <c r="AS32" s="354"/>
      <c r="AT32" s="35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225"/>
      <c r="C33" s="225"/>
      <c r="D33" s="226"/>
      <c r="E33" s="324"/>
      <c r="F33" s="323"/>
      <c r="G33" s="323"/>
      <c r="H33" s="323"/>
      <c r="I33" s="339"/>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53"/>
      <c r="AP33" s="354"/>
      <c r="AQ33" s="354"/>
      <c r="AR33" s="354"/>
      <c r="AS33" s="354"/>
      <c r="AT33" s="35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225"/>
      <c r="C34" s="225"/>
      <c r="D34" s="226"/>
      <c r="E34" s="324"/>
      <c r="F34" s="323"/>
      <c r="G34" s="323"/>
      <c r="H34" s="323"/>
      <c r="I34" s="339"/>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53"/>
      <c r="AP34" s="354"/>
      <c r="AQ34" s="354"/>
      <c r="AR34" s="354"/>
      <c r="AS34" s="354"/>
      <c r="AT34" s="35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225"/>
      <c r="C35" s="225"/>
      <c r="D35" s="226"/>
      <c r="E35" s="325"/>
      <c r="F35" s="326"/>
      <c r="G35" s="326"/>
      <c r="H35" s="326"/>
      <c r="I35" s="340"/>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56"/>
      <c r="AP35" s="357"/>
      <c r="AQ35" s="357"/>
      <c r="AR35" s="357"/>
      <c r="AS35" s="357"/>
      <c r="AT35" s="358"/>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225"/>
      <c r="C36" s="225"/>
      <c r="D36" s="226"/>
      <c r="E36" s="320" t="s">
        <v>113</v>
      </c>
      <c r="F36" s="321"/>
      <c r="G36" s="321"/>
      <c r="H36" s="321"/>
      <c r="I36" s="321"/>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41" t="s">
        <v>81</v>
      </c>
      <c r="AP36" s="342"/>
      <c r="AQ36" s="342"/>
      <c r="AR36" s="342"/>
      <c r="AS36" s="342"/>
      <c r="AT36" s="343"/>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225"/>
      <c r="C37" s="225"/>
      <c r="D37" s="226"/>
      <c r="E37" s="322"/>
      <c r="F37" s="323"/>
      <c r="G37" s="323"/>
      <c r="H37" s="323"/>
      <c r="I37" s="323"/>
      <c r="J37" s="68" t="str">
        <f>IF(AND('Mapa final'!$AD$11="Baja",'Mapa final'!$AF$11="Leve"),CONCATENATE("R2C",'Mapa final'!$S$11),"")</f>
        <v/>
      </c>
      <c r="K37" s="69" t="str">
        <f>IF(AND('Mapa final'!$AD$15="Baja",'Mapa final'!$AF$15="Leve"),CONCATENATE("R2C",'Mapa final'!$S$15),"")</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final'!$AD$11="Baja",'Mapa final'!$AF$11="Menor"),CONCATENATE("R2C",'Mapa final'!$S$11),"")</f>
        <v/>
      </c>
      <c r="Q37" s="60" t="str">
        <f>IF(AND('Mapa final'!$AD$15="Baja",'Mapa final'!$AF$15="Menor"),CONCATENATE("R2C",'Mapa final'!$S$15),"")</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final'!$AD$11="Baja",'Mapa final'!$AF$11="Moderado"),CONCATENATE("R2C",'Mapa final'!$S$11),"")</f>
        <v/>
      </c>
      <c r="W37" s="60" t="str">
        <f>IF(AND('Mapa final'!$AD$15="Baja",'Mapa final'!$AF$15="Moderado"),CONCATENATE("R2C",'Mapa final'!$S$15),"")</f>
        <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final'!$AD$11="Baja",'Mapa final'!$AF$11="Mayor"),CONCATENATE("R2C",'Mapa final'!$S$11),"")</f>
        <v/>
      </c>
      <c r="AC37" s="45" t="str">
        <f>IF(AND('Mapa final'!$AD$15="Baja",'Mapa final'!$AF$15="Mayor"),CONCATENATE("R2C",'Mapa final'!$S$15),"")</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final'!$AD$15="Baja",'Mapa final'!$AF$15="Catastrófico"),CONCATENATE("R2C",'Mapa final'!$S$15),"")</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44"/>
      <c r="AP37" s="345"/>
      <c r="AQ37" s="345"/>
      <c r="AR37" s="345"/>
      <c r="AS37" s="345"/>
      <c r="AT37" s="346"/>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225"/>
      <c r="C38" s="225"/>
      <c r="D38" s="226"/>
      <c r="E38" s="324"/>
      <c r="F38" s="323"/>
      <c r="G38" s="323"/>
      <c r="H38" s="323"/>
      <c r="I38" s="323"/>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44"/>
      <c r="AP38" s="345"/>
      <c r="AQ38" s="345"/>
      <c r="AR38" s="345"/>
      <c r="AS38" s="345"/>
      <c r="AT38" s="346"/>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225"/>
      <c r="C39" s="225"/>
      <c r="D39" s="226"/>
      <c r="E39" s="324"/>
      <c r="F39" s="323"/>
      <c r="G39" s="323"/>
      <c r="H39" s="323"/>
      <c r="I39" s="323"/>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44"/>
      <c r="AP39" s="345"/>
      <c r="AQ39" s="345"/>
      <c r="AR39" s="345"/>
      <c r="AS39" s="345"/>
      <c r="AT39" s="346"/>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225"/>
      <c r="C40" s="225"/>
      <c r="D40" s="226"/>
      <c r="E40" s="324"/>
      <c r="F40" s="323"/>
      <c r="G40" s="323"/>
      <c r="H40" s="323"/>
      <c r="I40" s="323"/>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44"/>
      <c r="AP40" s="345"/>
      <c r="AQ40" s="345"/>
      <c r="AR40" s="345"/>
      <c r="AS40" s="345"/>
      <c r="AT40" s="346"/>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225"/>
      <c r="C41" s="225"/>
      <c r="D41" s="226"/>
      <c r="E41" s="324"/>
      <c r="F41" s="323"/>
      <c r="G41" s="323"/>
      <c r="H41" s="323"/>
      <c r="I41" s="323"/>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44"/>
      <c r="AP41" s="345"/>
      <c r="AQ41" s="345"/>
      <c r="AR41" s="345"/>
      <c r="AS41" s="345"/>
      <c r="AT41" s="346"/>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225"/>
      <c r="C42" s="225"/>
      <c r="D42" s="226"/>
      <c r="E42" s="324"/>
      <c r="F42" s="323"/>
      <c r="G42" s="323"/>
      <c r="H42" s="323"/>
      <c r="I42" s="323"/>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44"/>
      <c r="AP42" s="345"/>
      <c r="AQ42" s="345"/>
      <c r="AR42" s="345"/>
      <c r="AS42" s="345"/>
      <c r="AT42" s="346"/>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225"/>
      <c r="C43" s="225"/>
      <c r="D43" s="226"/>
      <c r="E43" s="324"/>
      <c r="F43" s="323"/>
      <c r="G43" s="323"/>
      <c r="H43" s="323"/>
      <c r="I43" s="323"/>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44"/>
      <c r="AP43" s="345"/>
      <c r="AQ43" s="345"/>
      <c r="AR43" s="345"/>
      <c r="AS43" s="345"/>
      <c r="AT43" s="346"/>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225"/>
      <c r="C44" s="225"/>
      <c r="D44" s="226"/>
      <c r="E44" s="324"/>
      <c r="F44" s="323"/>
      <c r="G44" s="323"/>
      <c r="H44" s="323"/>
      <c r="I44" s="323"/>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44"/>
      <c r="AP44" s="345"/>
      <c r="AQ44" s="345"/>
      <c r="AR44" s="345"/>
      <c r="AS44" s="345"/>
      <c r="AT44" s="346"/>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225"/>
      <c r="C45" s="225"/>
      <c r="D45" s="226"/>
      <c r="E45" s="325"/>
      <c r="F45" s="326"/>
      <c r="G45" s="326"/>
      <c r="H45" s="326"/>
      <c r="I45" s="326"/>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47"/>
      <c r="AP45" s="348"/>
      <c r="AQ45" s="348"/>
      <c r="AR45" s="348"/>
      <c r="AS45" s="348"/>
      <c r="AT45" s="349"/>
    </row>
    <row r="46" spans="1:80" ht="46.5" customHeight="1" x14ac:dyDescent="0.35">
      <c r="A46" s="75"/>
      <c r="B46" s="225"/>
      <c r="C46" s="225"/>
      <c r="D46" s="226"/>
      <c r="E46" s="320" t="s">
        <v>112</v>
      </c>
      <c r="F46" s="321"/>
      <c r="G46" s="321"/>
      <c r="H46" s="321"/>
      <c r="I46" s="338"/>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225"/>
      <c r="C47" s="225"/>
      <c r="D47" s="226"/>
      <c r="E47" s="322"/>
      <c r="F47" s="323"/>
      <c r="G47" s="323"/>
      <c r="H47" s="323"/>
      <c r="I47" s="339"/>
      <c r="J47" s="68" t="str">
        <f>IF(AND('Mapa final'!$AD$11="Muy Baja",'Mapa final'!$AF$11="Leve"),CONCATENATE("R2C",'Mapa final'!$S$11),"")</f>
        <v>R2C3</v>
      </c>
      <c r="K47" s="69" t="str">
        <f>IF(AND('Mapa final'!$AD$15="Muy Baja",'Mapa final'!$AF$15="Leve"),CONCATENATE("R2C",'Mapa final'!$S$15),"")</f>
        <v>R2C1</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final'!$AD$11="Muy Baja",'Mapa final'!$AF$11="Menor"),CONCATENATE("R2C",'Mapa final'!$S$11),"")</f>
        <v/>
      </c>
      <c r="Q47" s="69" t="str">
        <f>IF(AND('Mapa final'!$AD$15="Muy Baja",'Mapa final'!$AF$15="Menor"),CONCATENATE("R2C",'Mapa final'!$S$15),"")</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final'!$AD$11="Muy Baja",'Mapa final'!$AF$11="Moderado"),CONCATENATE("R2C",'Mapa final'!$S$11),"")</f>
        <v/>
      </c>
      <c r="W47" s="60" t="str">
        <f>IF(AND('Mapa final'!$AD$15="Muy Baja",'Mapa final'!$AF$15="Moderado"),CONCATENATE("R2C",'Mapa final'!$S$15),"")</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final'!$AD$11="Muy Baja",'Mapa final'!$AF$11="Mayor"),CONCATENATE("R2C",'Mapa final'!$S$11),"")</f>
        <v/>
      </c>
      <c r="AC47" s="45" t="str">
        <f>IF(AND('Mapa final'!$AD$15="Muy Baja",'Mapa final'!$AF$15="Mayor"),CONCATENATE("R2C",'Mapa final'!$S$15),"")</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final'!$AD$15="Muy Baja",'Mapa final'!$AF$15="Catastrófico"),CONCATENATE("R2C",'Mapa final'!$S$15),"")</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225"/>
      <c r="C48" s="225"/>
      <c r="D48" s="226"/>
      <c r="E48" s="322"/>
      <c r="F48" s="323"/>
      <c r="G48" s="323"/>
      <c r="H48" s="323"/>
      <c r="I48" s="339"/>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225"/>
      <c r="C49" s="225"/>
      <c r="D49" s="226"/>
      <c r="E49" s="324"/>
      <c r="F49" s="323"/>
      <c r="G49" s="323"/>
      <c r="H49" s="323"/>
      <c r="I49" s="339"/>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225"/>
      <c r="C50" s="225"/>
      <c r="D50" s="226"/>
      <c r="E50" s="324"/>
      <c r="F50" s="323"/>
      <c r="G50" s="323"/>
      <c r="H50" s="323"/>
      <c r="I50" s="339"/>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225"/>
      <c r="C51" s="225"/>
      <c r="D51" s="226"/>
      <c r="E51" s="324"/>
      <c r="F51" s="323"/>
      <c r="G51" s="323"/>
      <c r="H51" s="323"/>
      <c r="I51" s="339"/>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225"/>
      <c r="C52" s="225"/>
      <c r="D52" s="226"/>
      <c r="E52" s="324"/>
      <c r="F52" s="323"/>
      <c r="G52" s="323"/>
      <c r="H52" s="323"/>
      <c r="I52" s="339"/>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225"/>
      <c r="C53" s="225"/>
      <c r="D53" s="226"/>
      <c r="E53" s="324"/>
      <c r="F53" s="323"/>
      <c r="G53" s="323"/>
      <c r="H53" s="323"/>
      <c r="I53" s="339"/>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225"/>
      <c r="C54" s="225"/>
      <c r="D54" s="226"/>
      <c r="E54" s="324"/>
      <c r="F54" s="323"/>
      <c r="G54" s="323"/>
      <c r="H54" s="323"/>
      <c r="I54" s="339"/>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225"/>
      <c r="C55" s="225"/>
      <c r="D55" s="226"/>
      <c r="E55" s="325"/>
      <c r="F55" s="326"/>
      <c r="G55" s="326"/>
      <c r="H55" s="326"/>
      <c r="I55" s="340"/>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20" t="s">
        <v>111</v>
      </c>
      <c r="K56" s="321"/>
      <c r="L56" s="321"/>
      <c r="M56" s="321"/>
      <c r="N56" s="321"/>
      <c r="O56" s="338"/>
      <c r="P56" s="320" t="s">
        <v>110</v>
      </c>
      <c r="Q56" s="321"/>
      <c r="R56" s="321"/>
      <c r="S56" s="321"/>
      <c r="T56" s="321"/>
      <c r="U56" s="338"/>
      <c r="V56" s="320" t="s">
        <v>109</v>
      </c>
      <c r="W56" s="321"/>
      <c r="X56" s="321"/>
      <c r="Y56" s="321"/>
      <c r="Z56" s="321"/>
      <c r="AA56" s="338"/>
      <c r="AB56" s="320" t="s">
        <v>108</v>
      </c>
      <c r="AC56" s="359"/>
      <c r="AD56" s="321"/>
      <c r="AE56" s="321"/>
      <c r="AF56" s="321"/>
      <c r="AG56" s="338"/>
      <c r="AH56" s="320" t="s">
        <v>107</v>
      </c>
      <c r="AI56" s="321"/>
      <c r="AJ56" s="321"/>
      <c r="AK56" s="321"/>
      <c r="AL56" s="321"/>
      <c r="AM56" s="338"/>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24"/>
      <c r="K57" s="323"/>
      <c r="L57" s="323"/>
      <c r="M57" s="323"/>
      <c r="N57" s="323"/>
      <c r="O57" s="339"/>
      <c r="P57" s="324"/>
      <c r="Q57" s="323"/>
      <c r="R57" s="323"/>
      <c r="S57" s="323"/>
      <c r="T57" s="323"/>
      <c r="U57" s="339"/>
      <c r="V57" s="324"/>
      <c r="W57" s="323"/>
      <c r="X57" s="323"/>
      <c r="Y57" s="323"/>
      <c r="Z57" s="323"/>
      <c r="AA57" s="339"/>
      <c r="AB57" s="324"/>
      <c r="AC57" s="323"/>
      <c r="AD57" s="323"/>
      <c r="AE57" s="323"/>
      <c r="AF57" s="323"/>
      <c r="AG57" s="339"/>
      <c r="AH57" s="324"/>
      <c r="AI57" s="323"/>
      <c r="AJ57" s="323"/>
      <c r="AK57" s="323"/>
      <c r="AL57" s="323"/>
      <c r="AM57" s="339"/>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24"/>
      <c r="K58" s="323"/>
      <c r="L58" s="323"/>
      <c r="M58" s="323"/>
      <c r="N58" s="323"/>
      <c r="O58" s="339"/>
      <c r="P58" s="324"/>
      <c r="Q58" s="323"/>
      <c r="R58" s="323"/>
      <c r="S58" s="323"/>
      <c r="T58" s="323"/>
      <c r="U58" s="339"/>
      <c r="V58" s="324"/>
      <c r="W58" s="323"/>
      <c r="X58" s="323"/>
      <c r="Y58" s="323"/>
      <c r="Z58" s="323"/>
      <c r="AA58" s="339"/>
      <c r="AB58" s="324"/>
      <c r="AC58" s="323"/>
      <c r="AD58" s="323"/>
      <c r="AE58" s="323"/>
      <c r="AF58" s="323"/>
      <c r="AG58" s="339"/>
      <c r="AH58" s="324"/>
      <c r="AI58" s="323"/>
      <c r="AJ58" s="323"/>
      <c r="AK58" s="323"/>
      <c r="AL58" s="323"/>
      <c r="AM58" s="339"/>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24"/>
      <c r="K59" s="323"/>
      <c r="L59" s="323"/>
      <c r="M59" s="323"/>
      <c r="N59" s="323"/>
      <c r="O59" s="339"/>
      <c r="P59" s="324"/>
      <c r="Q59" s="323"/>
      <c r="R59" s="323"/>
      <c r="S59" s="323"/>
      <c r="T59" s="323"/>
      <c r="U59" s="339"/>
      <c r="V59" s="324"/>
      <c r="W59" s="323"/>
      <c r="X59" s="323"/>
      <c r="Y59" s="323"/>
      <c r="Z59" s="323"/>
      <c r="AA59" s="339"/>
      <c r="AB59" s="324"/>
      <c r="AC59" s="323"/>
      <c r="AD59" s="323"/>
      <c r="AE59" s="323"/>
      <c r="AF59" s="323"/>
      <c r="AG59" s="339"/>
      <c r="AH59" s="324"/>
      <c r="AI59" s="323"/>
      <c r="AJ59" s="323"/>
      <c r="AK59" s="323"/>
      <c r="AL59" s="323"/>
      <c r="AM59" s="339"/>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24"/>
      <c r="K60" s="323"/>
      <c r="L60" s="323"/>
      <c r="M60" s="323"/>
      <c r="N60" s="323"/>
      <c r="O60" s="339"/>
      <c r="P60" s="324"/>
      <c r="Q60" s="323"/>
      <c r="R60" s="323"/>
      <c r="S60" s="323"/>
      <c r="T60" s="323"/>
      <c r="U60" s="339"/>
      <c r="V60" s="324"/>
      <c r="W60" s="323"/>
      <c r="X60" s="323"/>
      <c r="Y60" s="323"/>
      <c r="Z60" s="323"/>
      <c r="AA60" s="339"/>
      <c r="AB60" s="324"/>
      <c r="AC60" s="323"/>
      <c r="AD60" s="323"/>
      <c r="AE60" s="323"/>
      <c r="AF60" s="323"/>
      <c r="AG60" s="339"/>
      <c r="AH60" s="324"/>
      <c r="AI60" s="323"/>
      <c r="AJ60" s="323"/>
      <c r="AK60" s="323"/>
      <c r="AL60" s="323"/>
      <c r="AM60" s="339"/>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25"/>
      <c r="K61" s="326"/>
      <c r="L61" s="326"/>
      <c r="M61" s="326"/>
      <c r="N61" s="326"/>
      <c r="O61" s="340"/>
      <c r="P61" s="325"/>
      <c r="Q61" s="326"/>
      <c r="R61" s="326"/>
      <c r="S61" s="326"/>
      <c r="T61" s="326"/>
      <c r="U61" s="340"/>
      <c r="V61" s="325"/>
      <c r="W61" s="326"/>
      <c r="X61" s="326"/>
      <c r="Y61" s="326"/>
      <c r="Z61" s="326"/>
      <c r="AA61" s="340"/>
      <c r="AB61" s="325"/>
      <c r="AC61" s="326"/>
      <c r="AD61" s="326"/>
      <c r="AE61" s="326"/>
      <c r="AF61" s="326"/>
      <c r="AG61" s="340"/>
      <c r="AH61" s="325"/>
      <c r="AI61" s="326"/>
      <c r="AJ61" s="326"/>
      <c r="AK61" s="326"/>
      <c r="AL61" s="326"/>
      <c r="AM61" s="340"/>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3" sqref="C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60" t="s">
        <v>54</v>
      </c>
      <c r="C1" s="360"/>
      <c r="D1" s="360"/>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C4" sqref="C4"/>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61" t="s">
        <v>62</v>
      </c>
      <c r="C1" s="361"/>
      <c r="D1" s="361"/>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9" workbookViewId="0">
      <selection activeCell="C11" sqref="C11:C12"/>
    </sheetView>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62" t="s">
        <v>77</v>
      </c>
      <c r="C1" s="363"/>
      <c r="D1" s="363"/>
      <c r="E1" s="363"/>
      <c r="F1" s="364"/>
    </row>
    <row r="2" spans="2:6" ht="16.5" thickBot="1" x14ac:dyDescent="0.3">
      <c r="B2" s="81"/>
      <c r="C2" s="81"/>
      <c r="D2" s="81"/>
      <c r="E2" s="81"/>
      <c r="F2" s="81"/>
    </row>
    <row r="3" spans="2:6" ht="16.5" thickBot="1" x14ac:dyDescent="0.25">
      <c r="B3" s="366" t="s">
        <v>63</v>
      </c>
      <c r="C3" s="367"/>
      <c r="D3" s="367"/>
      <c r="E3" s="93" t="s">
        <v>64</v>
      </c>
      <c r="F3" s="94" t="s">
        <v>65</v>
      </c>
    </row>
    <row r="4" spans="2:6" ht="31.5" x14ac:dyDescent="0.2">
      <c r="B4" s="368" t="s">
        <v>66</v>
      </c>
      <c r="C4" s="370" t="s">
        <v>13</v>
      </c>
      <c r="D4" s="82" t="s">
        <v>14</v>
      </c>
      <c r="E4" s="83" t="s">
        <v>67</v>
      </c>
      <c r="F4" s="84">
        <v>0.25</v>
      </c>
    </row>
    <row r="5" spans="2:6" ht="47.25" x14ac:dyDescent="0.2">
      <c r="B5" s="369"/>
      <c r="C5" s="371"/>
      <c r="D5" s="85" t="s">
        <v>15</v>
      </c>
      <c r="E5" s="86" t="s">
        <v>68</v>
      </c>
      <c r="F5" s="87">
        <v>0.15</v>
      </c>
    </row>
    <row r="6" spans="2:6" ht="47.25" x14ac:dyDescent="0.2">
      <c r="B6" s="369"/>
      <c r="C6" s="371"/>
      <c r="D6" s="85" t="s">
        <v>16</v>
      </c>
      <c r="E6" s="86" t="s">
        <v>69</v>
      </c>
      <c r="F6" s="87">
        <v>0.1</v>
      </c>
    </row>
    <row r="7" spans="2:6" ht="63" x14ac:dyDescent="0.2">
      <c r="B7" s="369"/>
      <c r="C7" s="371" t="s">
        <v>17</v>
      </c>
      <c r="D7" s="85" t="s">
        <v>10</v>
      </c>
      <c r="E7" s="86" t="s">
        <v>70</v>
      </c>
      <c r="F7" s="87">
        <v>0.25</v>
      </c>
    </row>
    <row r="8" spans="2:6" ht="31.5" x14ac:dyDescent="0.2">
      <c r="B8" s="369"/>
      <c r="C8" s="371"/>
      <c r="D8" s="85" t="s">
        <v>9</v>
      </c>
      <c r="E8" s="86" t="s">
        <v>71</v>
      </c>
      <c r="F8" s="87">
        <v>0.15</v>
      </c>
    </row>
    <row r="9" spans="2:6" ht="47.25" x14ac:dyDescent="0.2">
      <c r="B9" s="369" t="s">
        <v>159</v>
      </c>
      <c r="C9" s="371" t="s">
        <v>18</v>
      </c>
      <c r="D9" s="85" t="s">
        <v>19</v>
      </c>
      <c r="E9" s="86" t="s">
        <v>72</v>
      </c>
      <c r="F9" s="88" t="s">
        <v>73</v>
      </c>
    </row>
    <row r="10" spans="2:6" ht="63" x14ac:dyDescent="0.2">
      <c r="B10" s="369"/>
      <c r="C10" s="371"/>
      <c r="D10" s="85" t="s">
        <v>20</v>
      </c>
      <c r="E10" s="86" t="s">
        <v>74</v>
      </c>
      <c r="F10" s="88" t="s">
        <v>73</v>
      </c>
    </row>
    <row r="11" spans="2:6" ht="47.25" x14ac:dyDescent="0.2">
      <c r="B11" s="369"/>
      <c r="C11" s="371" t="s">
        <v>21</v>
      </c>
      <c r="D11" s="85" t="s">
        <v>22</v>
      </c>
      <c r="E11" s="86" t="s">
        <v>75</v>
      </c>
      <c r="F11" s="88" t="s">
        <v>73</v>
      </c>
    </row>
    <row r="12" spans="2:6" ht="47.25" x14ac:dyDescent="0.2">
      <c r="B12" s="369"/>
      <c r="C12" s="371"/>
      <c r="D12" s="85" t="s">
        <v>23</v>
      </c>
      <c r="E12" s="86" t="s">
        <v>76</v>
      </c>
      <c r="F12" s="88" t="s">
        <v>73</v>
      </c>
    </row>
    <row r="13" spans="2:6" ht="31.5" x14ac:dyDescent="0.2">
      <c r="B13" s="369"/>
      <c r="C13" s="371" t="s">
        <v>24</v>
      </c>
      <c r="D13" s="85" t="s">
        <v>118</v>
      </c>
      <c r="E13" s="86" t="s">
        <v>121</v>
      </c>
      <c r="F13" s="88" t="s">
        <v>73</v>
      </c>
    </row>
    <row r="14" spans="2:6" ht="32.25" thickBot="1" x14ac:dyDescent="0.25">
      <c r="B14" s="372"/>
      <c r="C14" s="373"/>
      <c r="D14" s="89" t="s">
        <v>119</v>
      </c>
      <c r="E14" s="90" t="s">
        <v>120</v>
      </c>
      <c r="F14" s="91" t="s">
        <v>73</v>
      </c>
    </row>
    <row r="15" spans="2:6" ht="49.5" customHeight="1" x14ac:dyDescent="0.2">
      <c r="B15" s="365" t="s">
        <v>156</v>
      </c>
      <c r="C15" s="365"/>
      <c r="D15" s="365"/>
      <c r="E15" s="365"/>
      <c r="F15" s="365"/>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2022-12-15T15:13:43Z</dcterms:modified>
</cp:coreProperties>
</file>