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7" documentId="11_5D67EA065AA3F8D7846C3772D9A13AF2FE64A93C" xr6:coauthVersionLast="47" xr6:coauthVersionMax="47" xr10:uidLastSave="{7C119DDD-D0C3-47A9-962D-73BBA5E411A8}"/>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1" l="1"/>
  <c r="V13" i="1"/>
  <c r="O13" i="1"/>
  <c r="P13" i="1" s="1"/>
  <c r="L13" i="1"/>
  <c r="M13" i="1" s="1"/>
  <c r="Y12" i="1"/>
  <c r="V12" i="1"/>
  <c r="O12" i="1"/>
  <c r="P12" i="1" s="1"/>
  <c r="L12" i="1"/>
  <c r="M12" i="1" s="1"/>
  <c r="L18" i="1"/>
  <c r="AC12" i="1" l="1"/>
  <c r="AE12" i="1" s="1"/>
  <c r="R12" i="1"/>
  <c r="Q12" i="1"/>
  <c r="AG12" i="1" s="1"/>
  <c r="AF12" i="1" s="1"/>
  <c r="R13" i="1"/>
  <c r="Q13" i="1"/>
  <c r="AG13" i="1" s="1"/>
  <c r="AF13" i="1" s="1"/>
  <c r="AC13" i="1"/>
  <c r="F221" i="13"/>
  <c r="F211" i="13"/>
  <c r="F212" i="13"/>
  <c r="F213" i="13"/>
  <c r="F214" i="13"/>
  <c r="F215" i="13"/>
  <c r="F216" i="13"/>
  <c r="F217" i="13"/>
  <c r="F218" i="13"/>
  <c r="F219" i="13"/>
  <c r="F220" i="13"/>
  <c r="F210" i="13"/>
  <c r="B221" i="13" a="1"/>
  <c r="AD12" i="1" l="1"/>
  <c r="AH12" i="1" s="1"/>
  <c r="AD13" i="1"/>
  <c r="AH13" i="1" s="1"/>
  <c r="AE13" i="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<sst xmlns="http://schemas.openxmlformats.org/spreadsheetml/2006/main" count="409" uniqueCount="278">
  <si>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</si>
  <si>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</si>
  <si>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</si>
  <si>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</si>
  <si>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</si>
  <si>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</si>
  <si>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</si>
  <si>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</si>
  <si>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</si>
  <si>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</si>
  <si>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</si>
  <si>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</si>
  <si>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</si>
  <si>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</si>
  <si>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</si>
  <si>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</si>
  <si>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</si>
  <si>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</si>
  <si>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</si>
  <si>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</si>
  <si>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</si>
  <si>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</si>
  <si>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</si>
  <si>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</si>
  <si>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</si>
  <si>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</si>
  <si>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</si>
  <si>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</si>
  <si>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</si>
  <si>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</si>
  <si>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</si>
  <si>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</si>
  <si>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</si>
  <si>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</si>
  <si>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</si>
  <si>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</si>
  <si>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</si>
  <si>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</si>
  <si>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</si>
  <si>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</si>
  <si>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</si>
  <si>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</si>
  <si>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</si>
  <si>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</si>
  <si>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</si>
  <si>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</si>
  <si>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</si>
  <si>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</si>
  <si>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</si>
  <si>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</si>
  <si>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</si>
  <si>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</si>
  <si>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</si>
  <si>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</si>
  <si>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</si>
  <si>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</si>
  <si>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</si>
  <si>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</si>
  <si>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</si>
  <si>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</si>
  <si>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</si>
  <si>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</si>
  <si>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</si>
  <si>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</si>
  <si>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</si>
  <si>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</si>
  <si>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</si>
  <si>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</si>
  <si>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</si>
  <si>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</si>
  <si>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</si>
  <si>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</si>
  <si>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</si>
  <si>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</si>
  <si>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</si>
  <si>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</si>
  <si>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</si>
  <si>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</si>
  <si>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</si>
  <si>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</si>
  <si>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</si>
  <si>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</si>
  <si>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</si>
  <si>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</si>
  <si>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</si>
  <si>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</si>
  <si>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</si>
  <si>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</si>
  <si>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</si>
  <si>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</si>
  <si>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</si>
  <si>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</si>
  <si>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</si>
  <si>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</si>
  <si>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</si>
  <si>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</si>
  <si>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</si>
  <si>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</si>
  <si>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</si>
  <si>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</si>
  <si>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</si>
  <si>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</si>
  <si>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</si>
  <si>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</si>
  <si>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</si>
  <si>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</si>
  <si>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</si>
  <si>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</si>
  <si>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</si>
  <si>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</si>
  <si>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</si>
  <si>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</si>
  <si>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</si>
  <si>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</si>
  <si>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</si>
  <si>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</si>
  <si>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</si>
  <si>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</si>
  <si>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</si>
  <si>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</si>
  <si>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</si>
  <si>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</si>
  <si>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</si>
  <si>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</si>
  <si>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</si>
  <si>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</si>
  <si>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</si>
  <si>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</si>
  <si>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</si>
  <si>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</si>
  <si>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</si>
  <si>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</si>
  <si>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</si>
  <si>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</si>
  <si>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</si>
  <si>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</si>
  <si>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</si>
  <si>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</si>
  <si>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</si>
  <si>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</si>
  <si>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</si>
  <si>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</si>
  <si>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</si>
  <si>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</si>
  <si>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</si>
  <si>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</si>
  <si>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</si>
  <si>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</si>
  <si>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</si>
  <si>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</si>
  <si>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</si>
  <si>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</si>
  <si>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</si>
  <si>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</si>
  <si>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</si>
  <si>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</si>
  <si>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</si>
  <si>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</si>
  <si>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</si>
  <si>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</si>
  <si>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</si>
  <si>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</si>
  <si>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</si>
  <si>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</si>
  <si>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</si>
  <si>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</si>
  <si>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</si>
  <si>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</si>
  <si>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</si>
  <si>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</si>
  <si>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</si>
  <si>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</si>
  <si>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</si>
  <si>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</si>
  <si>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</si>
  <si>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</si>
  <si>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</si>
  <si>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</si>
  <si>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</si>
  <si>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</si>
  <si>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</si>
  <si>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</si>
  <si>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</si>
  <si>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</si>
  <si>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</si>
  <si>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</si>
  <si>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</si>
  <si>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</si>
  <si>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</si>
  <si>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</si>
  <si>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</si>
  <si>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</si>
  <si>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</si>
  <si>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</si>
  <si>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</si>
  <si>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</si>
  <si>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</si>
  <si>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</si>
  <si>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</si>
  <si>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</si>
  <si>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</si>
  <si>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</si>
  <si>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</si>
  <si>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</si>
  <si>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</si>
  <si>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</si>
  <si>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</si>
  <si>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</si>
  <si>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</si>
  <si>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</si>
  <si>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</si>
  <si>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</si>
  <si>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</si>
  <si>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</si>
  <si>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</si>
  <si>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</si>
  <si>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</si>
  <si>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</si>
  <si>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</si>
  <si>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</si>
  <si>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</si>
  <si>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</si>
  <si>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</si>
  <si>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</si>
  <si>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</si>
  <si>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</si>
  <si>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</si>
  <si>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</si>
  <si>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</si>
  <si>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</si>
  <si>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</si>
  <si>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</si>
  <si>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</si>
  <si>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</si>
  <si>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</si>
  <si>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</si>
  <si>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</si>
  <si>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</si>
  <si>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</si>
  <si>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</si>
  <si>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</si>
  <si>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</si>
  <si>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</si>
  <si>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</si>
  <si>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</si>
  <si>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</si>
  <si>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</si>
  <si>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</si>
  <si>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</si>
  <si>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</si>
  <si>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</si>
  <si>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</si>
  <si>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</si>
  <si>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</si>
  <si>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AMBIENTAL</t>
  </si>
  <si>
    <t>Promover una gestión ambiental institucional responsable que propenda por alcanzar paulatinamente una sostenibilidad ambiental en cumplimiento de la normatividad ambiental vigente aplicable y la prevención de impactos ambientales en el área de influencia directa de la ETITC</t>
  </si>
  <si>
    <t>Aplica para todos los procesos del Sistema de Integrado de Gestión de la Institución, desde la planificación del sistema hasta la mejora y efectividad de las acciones desarrolladas</t>
  </si>
  <si>
    <t xml:space="preserve">Multas o sanciones a la entidad </t>
  </si>
  <si>
    <t>Fallas en la ejecución de actividades propuestas en los Programas Ambientales.</t>
  </si>
  <si>
    <t>Falta de gestión para la prevención y preparación para la atención de situaciones de emergencias ambientales</t>
  </si>
  <si>
    <t>Posibilidad afectación economica y reputacional por multas o sanciones a la Entidad  por falta de gestión para la prevención y preparación para la atención de situaciones de emergencias ambientales tales como:  derrame de sustancia químicas, aceites industriales o combustible, fallas en el suministro de agua potable, escapes de gas natural, acumulación de residuos y afectaciones por situaciones derivadas de fenomenos metereologicos extremos.</t>
  </si>
  <si>
    <t>El Lider de Gestión Ambiental debe planear, ejecutar y hacer seguimiento en su totalidad a las actividades propuestas para cada uno de los Programas Ambientales, que se establecen en el Plan de Austeridad y gestión Ambiental.</t>
  </si>
  <si>
    <t xml:space="preserve"> - Seguimiento trimestral a la Matriz GAM-FO-16 Plan de Trabajo y Capacitaciones.
- Seguimiento a tramites ambientales
- Comunicaciones con la Autoridad Ambiental cuando se requiera.</t>
  </si>
  <si>
    <t>Líder de Gestión Ambiental</t>
  </si>
  <si>
    <t>El lider de Gestión Ambiental debe realizar las actividades necesarias para incluir los escenarios de emergencias ambientales en el Plan de Emergencias de la Entidad, abarcando la identificación de las amenazas y vulnerabilidad y los respectivos planes de respuesta para la prevención y respuesta de una eventual situación de emergencia.</t>
  </si>
  <si>
    <t xml:space="preserve">´- Comunicaciones con el area de SST.
- Plan de Emergencias actualizado con los escenarios y controles para emergencias ambientales.
</t>
  </si>
  <si>
    <t>El lider de Gestión Ambiental debe solicitar la inclusión de los escenarios de emergenias ambietnales en el Plan de Emergencias de la Entidad con apoyo del area de SST</t>
  </si>
  <si>
    <t>Lider de Gestión Ambiental
Lider SST</t>
  </si>
  <si>
    <r>
      <rPr>
        <b/>
        <sz val="14"/>
        <rFont val="Arial Narrow"/>
        <family val="2"/>
      </rPr>
      <t>LIDER DEL PROCESO:</t>
    </r>
    <r>
      <rPr>
        <sz val="14"/>
        <rFont val="Arial Narrow"/>
        <family val="2"/>
      </rPr>
      <t xml:space="preserve"> Nataly Sáchica Díaz</t>
    </r>
  </si>
  <si>
    <t xml:space="preserve">A la fecha no se han materializado emergencias ambientales. Se solicitó la inclusión de escenarios de emergenias ambientales en el Plan de Preparación y Prevención de Emergencias de la Entidad a Seguridad y Salud en el Trabajo y a la fecha no se ha incluido. </t>
  </si>
  <si>
    <t>El lider de Gestión Ambiental debe velar por la ejecución de las atividades propuestas para el control de los Aspectos e Impactos Ambientales establecidos para cada Programa Ambiental.</t>
  </si>
  <si>
    <t xml:space="preserve">El riesgo se ha materializado, teniendo en cuenta que se ha abierto un proceso sancionatorio Ambiental con Auto N°06371 de 2021, por probable contaminación del recurso hidrico, esto derivado de la Caracteriazación de vertimientos presentada por la ETITC en 2019, donde se evidenciaba que habian algunos parametros de contaminantes en una concentración mayor a la permitida. Las acciones para dar solución a esto se han ejectudao parcialmente y no resuelven la causa del problema. Se esta evaluando con el area de Planta Física y la Vicerectoría Administrativa y Financiera para realizar las acciones que sean mas efectivas. 
Desde Gestión Ambiental, se solicitó a la Vicerrectpria Administrativa la contratación de un Laboratorio Ambiental para hacer la mueva caracterización de vertimientos el 5 de mayo de 2022 y esta en proceso.
Así mismo, se solicito a Plant Física, instalar trampas de grasas en las pocetas de la cocina de Cafetería el 28 de abril de 2022. </t>
  </si>
  <si>
    <t>El Plan de Emergencias no se ha actualizado con los escenarios y controles para emergencias ambientales, para esta labor es necesario realizar trabajos mancomunados con las diferentes áreas institucionales y obtener conceptos externos propios para formular este plan (plan de acción no ejecutado, soporte de control no presentado). 
En comunicaciones con el área de SST, no se ha desarrollado actividades que den respuesta al riesgo identificado. Riesgo no maeterializado a la fecha.</t>
  </si>
  <si>
    <t xml:space="preserve">Con relación a la caracterización de vertimientos, el 9 de agosto se adjudicó el proceso IP0 40 DE 2022.
A través de AUTO 04530 se formulan cargos de imputación de cargos a la ETITC por presunto sobrepaso de los limites ambiental. En reuniones con el área de Planta Física, se han desarrollado Pruebas de anilina (23 y 24 de marzo de 2022) Sin embargo, se informa que es necesario realizar actividades de intervención a los puntos de descarga de los vertimientos, Intervenciones a las tuberías y Drenaje a los sumideros. 
Respecto de la matriz de seguimiento GAM-M0-16 Se realiza seguimiento a las 68 actividades, se muestra de manera parcial el seguimiento según el instrumento.
El seguimiento a los tramites ambiental sitio web de la SDA. Se desarrollan diferentes actividades en respuesta de las temáticas institucionales. 
Se cuenta con una carpeta a través de la cual se ordenan los temas ambientales correspondientes a la ETITC, a la fecha del seguimiento se verifican 11 comunicaciones. Para cada una de los comunicados se imparten actividades acordes a la realidad institucional, que den respuesta a las solicitudes respectivas.  
Aunque el riesgo se materializo se estructuran actividades para su mitigación. 
</t>
  </si>
  <si>
    <t>Posibilidad de afectación económica y reputacional por multas o sanciones a la entidad derivadas de las fallas en la ejecución de las actividades propuestas en los Programas Ambientales.</t>
  </si>
  <si>
    <t xml:space="preserve">Mediante seguimiento efectuado se evidencio que el proceso cuenta con el plan de trabajo al que se le realiza el seguimiento trimestral, dicho plan está basado en los programas ambientales de uso eficiente del agua, uso eficiente de la energía y gestión integral de residuos, así mismo, para efectuar el seguimiento a los tramites ambientales, dicho proceso se realiza por medio del portal web de la Secretaria de Ambiente a las solicitudes radicadas por la autoridad ambiental y las respondidas por la ETITC, de igual modo, se observa la trazabilidad de las actividades realizadas.
De otra parte, se contó con el contratista Cto. 215/2022 que realizara el plan para el muestreo de grasas y muestreo compuesto requerido por la autoridad ambiental, se cuenta con el primer informe de fecha 30 de agosto con el informe resultado, realizado por “Vitae consultoría”, el nuevo muestreo fue realizado el 20 de octubre. para la caracterización de vertimientos se realiza por la página del acueducto de Bogotá quien reporta a la Secretaria de Ambiente con reportes de 2019, los reportes correspondientes al 2020 y 2021 fueron realizados en el 2022.
En cuanto al manejo y tala de árboles, a través del concepto de silvicultura, se cuenta con la tabla de valores de acuerdo con las especies y sus valores, frente a lo que la entidad ha generado las actividades previas respectivas para adelantar la gestión con el arbolado.
En cuanto a las capacitaciones realizadas, durante la vigencia se desarrollaron en temas de uso eficiente del agua, consumo responsable de economía circular, de igual modo, con el personal de servicios generales en el manejo de residuos ordinarios y peligrosos, para grupos específicos de trabajo se brindaron capacitaciones en contexto ambiental para talleres y laboratorios, el equipo de mantenimiento tecnológico, en manejo adecuado de residuos de informática y comunicaciones. así mismo, se desarrollaron las jornadas de caminatas ambientales en las diferentes reservas, con el acercamiento del uso eficiente del agua y la caminata a la quebrada la vieja. </t>
  </si>
  <si>
    <t>Se cuenta con las comunicaciones e interacción con el profesional de SST para establecer y manejar  un plan de emergencias unificadas tanto para los temas propios de SST como para la Gestión ambiental, ya que se deben realizar las mismas actividades y se contribuye con el óptimo control y seguimiento por parte de los lideres de los procesos, observando la identificación de riesgos en temas sísmicos, lluvias, meteorológicos fugas de gas propano y natural, riesgos por manejo de tecnología, incendios, mal manejo de residuos, así mismo, se realizó el simulacro del 4 de octubre con un derrame de líquidos inflamable y reactivos con la aplicabilidad y reacción de frente a la situación y con el equipo de laboratoristas. De otra parte, fue adelantada la actualización del plan de gestión de residuos peligrosos GAM-PL-01. con apoyo de la Secretaria de Ambiente y su programa acercar, se han actualizado y formulado los estudios previos para el manejo de estudios previos y se encuentra radicado a la Vicerrectoría Administrativa y Financiera para la adquisición de elementos para manejo de residuos peligrosos, actividad que contribuye con la mitigación del riesgo identificado.</t>
  </si>
  <si>
    <t>Fecha de actualización  15/11/2022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</si>
</sst>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83">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4" xfId="0" applyFont="1" applyBorder="1" applyAlignment="1">
      <alignment horizontal="center" vertical="center" wrapText="1"/>
    </xf>
    <xf numFmtId="0" fontId="65" fillId="0" borderId="74"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61" fillId="7" borderId="21" xfId="0" applyFont="1" applyFill="1" applyBorder="1" applyAlignment="1">
      <alignment horizontal="center" vertical="center" textRotation="90"/>
    </xf>
    <xf numFmtId="0" fontId="1" fillId="0" borderId="21" xfId="0" applyFont="1" applyBorder="1" applyAlignment="1" applyProtection="1">
      <alignment vertical="top" wrapText="1"/>
      <protection locked="0"/>
    </xf>
    <xf numFmtId="0" fontId="1" fillId="0" borderId="21" xfId="0" applyFont="1" applyBorder="1" applyAlignment="1">
      <alignment vertical="top" wrapText="1"/>
    </xf>
    <xf numFmtId="0" fontId="2" fillId="0" borderId="21" xfId="0" applyFont="1" applyBorder="1" applyAlignment="1" applyProtection="1">
      <alignment vertical="top" wrapText="1"/>
      <protection locked="0"/>
    </xf>
    <xf numFmtId="0" fontId="1" fillId="0" borderId="21" xfId="0" applyFont="1" applyBorder="1" applyAlignment="1" applyProtection="1">
      <alignment horizontal="center" vertical="top"/>
      <protection locked="0"/>
    </xf>
    <xf numFmtId="0" fontId="4" fillId="0" borderId="21" xfId="0" applyFont="1" applyBorder="1" applyAlignment="1" applyProtection="1">
      <alignment horizontal="center" vertical="top" wrapText="1"/>
      <protection hidden="1"/>
    </xf>
    <xf numFmtId="9" fontId="1" fillId="0" borderId="21" xfId="0" applyNumberFormat="1" applyFont="1" applyBorder="1" applyAlignment="1" applyProtection="1">
      <alignment vertical="top" wrapText="1"/>
      <protection locked="0"/>
    </xf>
    <xf numFmtId="0" fontId="4" fillId="0" borderId="21" xfId="0" applyFont="1" applyBorder="1" applyAlignment="1" applyProtection="1">
      <alignment vertical="top" wrapText="1"/>
      <protection hidden="1"/>
    </xf>
    <xf numFmtId="9" fontId="1" fillId="0" borderId="21" xfId="0" applyNumberFormat="1" applyFont="1" applyBorder="1" applyAlignment="1" applyProtection="1">
      <alignment vertical="top" wrapText="1"/>
      <protection hidden="1"/>
    </xf>
    <xf numFmtId="0" fontId="4" fillId="0" borderId="21" xfId="0" applyFont="1" applyBorder="1" applyAlignment="1" applyProtection="1">
      <alignment vertical="top"/>
      <protection hidden="1"/>
    </xf>
    <xf numFmtId="0" fontId="1" fillId="0" borderId="21" xfId="0" applyFont="1" applyBorder="1" applyAlignment="1">
      <alignment horizontal="center" vertical="top"/>
    </xf>
    <xf numFmtId="0" fontId="6" fillId="0" borderId="21" xfId="0" quotePrefix="1" applyFont="1" applyBorder="1" applyAlignment="1" applyProtection="1">
      <alignment horizontal="justify" vertical="top" wrapText="1"/>
      <protection locked="0"/>
    </xf>
    <xf numFmtId="0" fontId="1" fillId="0" borderId="21" xfId="0" applyFont="1" applyBorder="1" applyAlignment="1" applyProtection="1">
      <alignment horizontal="center" vertical="top"/>
      <protection hidden="1"/>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pplyProtection="1">
      <alignment horizontal="center" vertical="top" wrapText="1"/>
      <protection locked="0"/>
    </xf>
    <xf numFmtId="14" fontId="1" fillId="0" borderId="21" xfId="0" applyNumberFormat="1" applyFont="1" applyBorder="1" applyAlignment="1" applyProtection="1">
      <alignment horizontal="center" vertical="top"/>
      <protection locked="0"/>
    </xf>
    <xf numFmtId="9"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top" wrapText="1"/>
      <protection locked="0"/>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1" fillId="0" borderId="0" xfId="0" applyFont="1" applyAlignment="1">
      <alignment horizontal="left" vertical="center" wrapText="1"/>
    </xf>
    <xf numFmtId="0" fontId="1" fillId="0" borderId="21" xfId="0" applyFont="1" applyBorder="1" applyAlignment="1" applyProtection="1">
      <alignment horizontal="lef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72" xfId="0" applyFont="1" applyFill="1" applyBorder="1" applyAlignment="1">
      <alignment horizontal="center" vertical="center"/>
    </xf>
    <xf numFmtId="0" fontId="60" fillId="7" borderId="73" xfId="0" applyFont="1" applyFill="1" applyBorder="1" applyAlignment="1">
      <alignment horizontal="center" vertical="center"/>
    </xf>
    <xf numFmtId="0" fontId="61" fillId="7" borderId="22" xfId="0" applyFont="1" applyFill="1" applyBorder="1" applyAlignment="1">
      <alignment horizontal="center" vertical="center"/>
    </xf>
    <xf numFmtId="0" fontId="62" fillId="0" borderId="72" xfId="0" applyFont="1" applyBorder="1" applyAlignment="1">
      <alignment horizontal="left" vertical="center" wrapText="1"/>
    </xf>
    <xf numFmtId="0" fontId="62" fillId="0" borderId="71" xfId="0" applyFont="1" applyBorder="1" applyAlignment="1">
      <alignment horizontal="left" vertical="center"/>
    </xf>
    <xf numFmtId="0" fontId="62" fillId="0" borderId="73" xfId="0" applyFont="1" applyBorder="1" applyAlignment="1">
      <alignment horizontal="left" vertical="center"/>
    </xf>
    <xf numFmtId="0" fontId="62" fillId="0" borderId="72" xfId="0" applyFont="1" applyBorder="1" applyAlignment="1">
      <alignment horizontal="left" vertical="center"/>
    </xf>
    <xf numFmtId="0" fontId="61" fillId="7" borderId="21" xfId="0" applyFont="1" applyFill="1" applyBorder="1" applyAlignment="1">
      <alignment horizontal="center" vertical="center" textRotation="90" wrapText="1"/>
    </xf>
    <xf numFmtId="0" fontId="65" fillId="0" borderId="74" xfId="0" applyFont="1" applyBorder="1" applyAlignment="1">
      <alignment horizontal="center" vertical="center" wrapText="1"/>
    </xf>
    <xf numFmtId="0" fontId="66" fillId="0" borderId="74" xfId="0" applyFont="1" applyBorder="1" applyAlignment="1">
      <alignment horizontal="center" vertical="center" wrapText="1"/>
    </xf>
    <xf numFmtId="0" fontId="49" fillId="0" borderId="72" xfId="0" applyFont="1" applyBorder="1" applyAlignment="1">
      <alignment horizontal="left" vertical="center" wrapText="1"/>
    </xf>
    <xf numFmtId="0" fontId="49" fillId="0" borderId="71" xfId="0" applyFont="1" applyBorder="1" applyAlignment="1">
      <alignment horizontal="left" vertical="center" wrapText="1"/>
    </xf>
    <xf numFmtId="0" fontId="49"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4" fillId="0" borderId="21" xfId="0" applyFont="1" applyBorder="1" applyAlignment="1">
      <alignment horizontal="left" vertical="center"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61" fillId="7" borderId="68"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75" xfId="0" applyFont="1" applyFill="1" applyBorder="1" applyAlignment="1">
      <alignment horizontal="center" vertical="center" wrapText="1"/>
    </xf>
    <xf numFmtId="0" fontId="61" fillId="7" borderId="22" xfId="0" applyFont="1" applyFill="1" applyBorder="1" applyAlignment="1">
      <alignment horizontal="center" vertical="center" wrapText="1"/>
    </xf>
    <xf numFmtId="0" fontId="57" fillId="0" borderId="67" xfId="0" applyFont="1" applyBorder="1" applyAlignment="1">
      <alignment horizontal="left" vertical="center"/>
    </xf>
    <xf numFmtId="0" fontId="57" fillId="0" borderId="66" xfId="0" applyFont="1"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horizontal="left" vertical="center"/>
    </xf>
    <xf numFmtId="0" fontId="57" fillId="0" borderId="68" xfId="0" applyFont="1" applyBorder="1" applyAlignment="1">
      <alignment horizontal="left" vertical="center"/>
    </xf>
    <xf numFmtId="0" fontId="57" fillId="0" borderId="65"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29143</xdr:colOff>
      <xdr:row>0</xdr:row>
      <xdr:rowOff>0</xdr:rowOff>
    </xdr:from>
    <xdr:to>
      <xdr:col>2</xdr:col>
      <xdr:colOff>533977</xdr:colOff>
      <xdr:row>2</xdr:row>
      <xdr:rowOff>14432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0393" y="0"/>
          <a:ext cx="504834" cy="4329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TRIZ%20DE%20RIESGOS%20GESTI&#211;N%20AMBIENTA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80" t="s">
        <v>163</v>
      </c>
      <c r="C2" s="181"/>
      <c r="D2" s="181"/>
      <c r="E2" s="181"/>
      <c r="F2" s="181"/>
      <c r="G2" s="181"/>
      <c r="H2" s="182"/>
    </row>
    <row r="3" spans="2:8" x14ac:dyDescent="0.25">
      <c r="B3" s="76"/>
      <c r="C3" s="77"/>
      <c r="D3" s="77"/>
      <c r="E3" s="77"/>
      <c r="F3" s="77"/>
      <c r="G3" s="77"/>
      <c r="H3" s="78"/>
    </row>
    <row r="4" spans="2:8" ht="63" customHeight="1" x14ac:dyDescent="0.25">
      <c r="B4" s="183" t="s">
        <v>206</v>
      </c>
      <c r="C4" s="184"/>
      <c r="D4" s="184"/>
      <c r="E4" s="184"/>
      <c r="F4" s="184"/>
      <c r="G4" s="184"/>
      <c r="H4" s="185"/>
    </row>
    <row r="5" spans="2:8" ht="63" customHeight="1" x14ac:dyDescent="0.25">
      <c r="B5" s="186"/>
      <c r="C5" s="187"/>
      <c r="D5" s="187"/>
      <c r="E5" s="187"/>
      <c r="F5" s="187"/>
      <c r="G5" s="187"/>
      <c r="H5" s="188"/>
    </row>
    <row r="6" spans="2:8" ht="16.5" x14ac:dyDescent="0.25">
      <c r="B6" s="189" t="s">
        <v>161</v>
      </c>
      <c r="C6" s="190"/>
      <c r="D6" s="190"/>
      <c r="E6" s="190"/>
      <c r="F6" s="190"/>
      <c r="G6" s="190"/>
      <c r="H6" s="191"/>
    </row>
    <row r="7" spans="2:8" ht="95.25" customHeight="1" x14ac:dyDescent="0.25">
      <c r="B7" s="199" t="s">
        <v>166</v>
      </c>
      <c r="C7" s="200"/>
      <c r="D7" s="200"/>
      <c r="E7" s="200"/>
      <c r="F7" s="200"/>
      <c r="G7" s="200"/>
      <c r="H7" s="201"/>
    </row>
    <row r="8" spans="2:8" ht="16.5" x14ac:dyDescent="0.25">
      <c r="B8" s="112"/>
      <c r="C8" s="113"/>
      <c r="D8" s="113"/>
      <c r="E8" s="113"/>
      <c r="F8" s="113"/>
      <c r="G8" s="113"/>
      <c r="H8" s="114"/>
    </row>
    <row r="9" spans="2:8" ht="16.5" customHeight="1" x14ac:dyDescent="0.25">
      <c r="B9" s="192" t="s">
        <v>199</v>
      </c>
      <c r="C9" s="193"/>
      <c r="D9" s="193"/>
      <c r="E9" s="193"/>
      <c r="F9" s="193"/>
      <c r="G9" s="193"/>
      <c r="H9" s="194"/>
    </row>
    <row r="10" spans="2:8" ht="44.25" customHeight="1" x14ac:dyDescent="0.25">
      <c r="B10" s="192"/>
      <c r="C10" s="193"/>
      <c r="D10" s="193"/>
      <c r="E10" s="193"/>
      <c r="F10" s="193"/>
      <c r="G10" s="193"/>
      <c r="H10" s="194"/>
    </row>
    <row r="11" spans="2:8" ht="15.75" thickBot="1" x14ac:dyDescent="0.3">
      <c r="B11" s="101"/>
      <c r="C11" s="104"/>
      <c r="D11" s="109"/>
      <c r="E11" s="110"/>
      <c r="F11" s="110"/>
      <c r="G11" s="111"/>
      <c r="H11" s="105"/>
    </row>
    <row r="12" spans="2:8" ht="15.75" thickTop="1" x14ac:dyDescent="0.25">
      <c r="B12" s="101"/>
      <c r="C12" s="195" t="s">
        <v>162</v>
      </c>
      <c r="D12" s="196"/>
      <c r="E12" s="197" t="s">
        <v>200</v>
      </c>
      <c r="F12" s="198"/>
      <c r="G12" s="104"/>
      <c r="H12" s="105"/>
    </row>
    <row r="13" spans="2:8" ht="35.25" customHeight="1" x14ac:dyDescent="0.25">
      <c r="B13" s="101"/>
      <c r="C13" s="167" t="s">
        <v>193</v>
      </c>
      <c r="D13" s="168"/>
      <c r="E13" s="169" t="s">
        <v>198</v>
      </c>
      <c r="F13" s="170"/>
      <c r="G13" s="104"/>
      <c r="H13" s="105"/>
    </row>
    <row r="14" spans="2:8" ht="17.25" customHeight="1" x14ac:dyDescent="0.25">
      <c r="B14" s="101"/>
      <c r="C14" s="167" t="s">
        <v>194</v>
      </c>
      <c r="D14" s="168"/>
      <c r="E14" s="169" t="s">
        <v>196</v>
      </c>
      <c r="F14" s="170"/>
      <c r="G14" s="104"/>
      <c r="H14" s="105"/>
    </row>
    <row r="15" spans="2:8" ht="19.5" customHeight="1" x14ac:dyDescent="0.25">
      <c r="B15" s="101"/>
      <c r="C15" s="167" t="s">
        <v>195</v>
      </c>
      <c r="D15" s="168"/>
      <c r="E15" s="169" t="s">
        <v>197</v>
      </c>
      <c r="F15" s="170"/>
      <c r="G15" s="104"/>
      <c r="H15" s="105"/>
    </row>
    <row r="16" spans="2:8" ht="69.75" customHeight="1" x14ac:dyDescent="0.25">
      <c r="B16" s="101"/>
      <c r="C16" s="167" t="s">
        <v>164</v>
      </c>
      <c r="D16" s="168"/>
      <c r="E16" s="169" t="s">
        <v>165</v>
      </c>
      <c r="F16" s="170"/>
      <c r="G16" s="104"/>
      <c r="H16" s="105"/>
    </row>
    <row r="17" spans="2:8" ht="34.5" customHeight="1" x14ac:dyDescent="0.25">
      <c r="B17" s="101"/>
      <c r="C17" s="171" t="s">
        <v>2</v>
      </c>
      <c r="D17" s="172"/>
      <c r="E17" s="163" t="s">
        <v>207</v>
      </c>
      <c r="F17" s="164"/>
      <c r="G17" s="104"/>
      <c r="H17" s="105"/>
    </row>
    <row r="18" spans="2:8" ht="27.75" customHeight="1" x14ac:dyDescent="0.25">
      <c r="B18" s="101"/>
      <c r="C18" s="171" t="s">
        <v>3</v>
      </c>
      <c r="D18" s="172"/>
      <c r="E18" s="163" t="s">
        <v>208</v>
      </c>
      <c r="F18" s="164"/>
      <c r="G18" s="104"/>
      <c r="H18" s="105"/>
    </row>
    <row r="19" spans="2:8" ht="28.5" customHeight="1" x14ac:dyDescent="0.25">
      <c r="B19" s="101"/>
      <c r="C19" s="171" t="s">
        <v>41</v>
      </c>
      <c r="D19" s="172"/>
      <c r="E19" s="163" t="s">
        <v>209</v>
      </c>
      <c r="F19" s="164"/>
      <c r="G19" s="104"/>
      <c r="H19" s="105"/>
    </row>
    <row r="20" spans="2:8" ht="72.75" customHeight="1" x14ac:dyDescent="0.25">
      <c r="B20" s="101"/>
      <c r="C20" s="171" t="s">
        <v>1</v>
      </c>
      <c r="D20" s="172"/>
      <c r="E20" s="163" t="s">
        <v>210</v>
      </c>
      <c r="F20" s="164"/>
      <c r="G20" s="104"/>
      <c r="H20" s="105"/>
    </row>
    <row r="21" spans="2:8" ht="64.5" customHeight="1" x14ac:dyDescent="0.25">
      <c r="B21" s="101"/>
      <c r="C21" s="171" t="s">
        <v>49</v>
      </c>
      <c r="D21" s="172"/>
      <c r="E21" s="163" t="s">
        <v>168</v>
      </c>
      <c r="F21" s="164"/>
      <c r="G21" s="104"/>
      <c r="H21" s="105"/>
    </row>
    <row r="22" spans="2:8" ht="71.25" customHeight="1" x14ac:dyDescent="0.25">
      <c r="B22" s="101"/>
      <c r="C22" s="171" t="s">
        <v>167</v>
      </c>
      <c r="D22" s="172"/>
      <c r="E22" s="163" t="s">
        <v>169</v>
      </c>
      <c r="F22" s="164"/>
      <c r="G22" s="104"/>
      <c r="H22" s="105"/>
    </row>
    <row r="23" spans="2:8" ht="55.5" customHeight="1" x14ac:dyDescent="0.25">
      <c r="B23" s="101"/>
      <c r="C23" s="165" t="s">
        <v>170</v>
      </c>
      <c r="D23" s="166"/>
      <c r="E23" s="163" t="s">
        <v>171</v>
      </c>
      <c r="F23" s="164"/>
      <c r="G23" s="104"/>
      <c r="H23" s="105"/>
    </row>
    <row r="24" spans="2:8" ht="42" customHeight="1" x14ac:dyDescent="0.25">
      <c r="B24" s="101"/>
      <c r="C24" s="165" t="s">
        <v>47</v>
      </c>
      <c r="D24" s="166"/>
      <c r="E24" s="163" t="s">
        <v>172</v>
      </c>
      <c r="F24" s="164"/>
      <c r="G24" s="104"/>
      <c r="H24" s="105"/>
    </row>
    <row r="25" spans="2:8" ht="59.25" customHeight="1" x14ac:dyDescent="0.25">
      <c r="B25" s="101"/>
      <c r="C25" s="165" t="s">
        <v>160</v>
      </c>
      <c r="D25" s="166"/>
      <c r="E25" s="163" t="s">
        <v>173</v>
      </c>
      <c r="F25" s="164"/>
      <c r="G25" s="104"/>
      <c r="H25" s="105"/>
    </row>
    <row r="26" spans="2:8" ht="23.25" customHeight="1" x14ac:dyDescent="0.25">
      <c r="B26" s="101"/>
      <c r="C26" s="165" t="s">
        <v>12</v>
      </c>
      <c r="D26" s="166"/>
      <c r="E26" s="163" t="s">
        <v>174</v>
      </c>
      <c r="F26" s="164"/>
      <c r="G26" s="104"/>
      <c r="H26" s="105"/>
    </row>
    <row r="27" spans="2:8" ht="30.75" customHeight="1" x14ac:dyDescent="0.25">
      <c r="B27" s="101"/>
      <c r="C27" s="165" t="s">
        <v>178</v>
      </c>
      <c r="D27" s="166"/>
      <c r="E27" s="163" t="s">
        <v>175</v>
      </c>
      <c r="F27" s="164"/>
      <c r="G27" s="104"/>
      <c r="H27" s="105"/>
    </row>
    <row r="28" spans="2:8" ht="35.25" customHeight="1" x14ac:dyDescent="0.25">
      <c r="B28" s="101"/>
      <c r="C28" s="165" t="s">
        <v>179</v>
      </c>
      <c r="D28" s="166"/>
      <c r="E28" s="163" t="s">
        <v>176</v>
      </c>
      <c r="F28" s="164"/>
      <c r="G28" s="104"/>
      <c r="H28" s="105"/>
    </row>
    <row r="29" spans="2:8" ht="33" customHeight="1" x14ac:dyDescent="0.25">
      <c r="B29" s="101"/>
      <c r="C29" s="165" t="s">
        <v>179</v>
      </c>
      <c r="D29" s="166"/>
      <c r="E29" s="163" t="s">
        <v>176</v>
      </c>
      <c r="F29" s="164"/>
      <c r="G29" s="104"/>
      <c r="H29" s="105"/>
    </row>
    <row r="30" spans="2:8" ht="30" customHeight="1" x14ac:dyDescent="0.25">
      <c r="B30" s="101"/>
      <c r="C30" s="165" t="s">
        <v>180</v>
      </c>
      <c r="D30" s="166"/>
      <c r="E30" s="163" t="s">
        <v>177</v>
      </c>
      <c r="F30" s="164"/>
      <c r="G30" s="104"/>
      <c r="H30" s="105"/>
    </row>
    <row r="31" spans="2:8" ht="35.25" customHeight="1" x14ac:dyDescent="0.25">
      <c r="B31" s="101"/>
      <c r="C31" s="165" t="s">
        <v>181</v>
      </c>
      <c r="D31" s="166"/>
      <c r="E31" s="163" t="s">
        <v>182</v>
      </c>
      <c r="F31" s="164"/>
      <c r="G31" s="104"/>
      <c r="H31" s="105"/>
    </row>
    <row r="32" spans="2:8" ht="31.5" customHeight="1" x14ac:dyDescent="0.25">
      <c r="B32" s="101"/>
      <c r="C32" s="165" t="s">
        <v>183</v>
      </c>
      <c r="D32" s="166"/>
      <c r="E32" s="163" t="s">
        <v>184</v>
      </c>
      <c r="F32" s="164"/>
      <c r="G32" s="104"/>
      <c r="H32" s="105"/>
    </row>
    <row r="33" spans="2:8" ht="35.25" customHeight="1" x14ac:dyDescent="0.25">
      <c r="B33" s="101"/>
      <c r="C33" s="165" t="s">
        <v>185</v>
      </c>
      <c r="D33" s="166"/>
      <c r="E33" s="163" t="s">
        <v>186</v>
      </c>
      <c r="F33" s="164"/>
      <c r="G33" s="104"/>
      <c r="H33" s="105"/>
    </row>
    <row r="34" spans="2:8" ht="59.25" customHeight="1" x14ac:dyDescent="0.25">
      <c r="B34" s="101"/>
      <c r="C34" s="165" t="s">
        <v>187</v>
      </c>
      <c r="D34" s="166"/>
      <c r="E34" s="163" t="s">
        <v>188</v>
      </c>
      <c r="F34" s="164"/>
      <c r="G34" s="104"/>
      <c r="H34" s="105"/>
    </row>
    <row r="35" spans="2:8" ht="29.25" customHeight="1" x14ac:dyDescent="0.25">
      <c r="B35" s="101"/>
      <c r="C35" s="165" t="s">
        <v>29</v>
      </c>
      <c r="D35" s="166"/>
      <c r="E35" s="163" t="s">
        <v>189</v>
      </c>
      <c r="F35" s="164"/>
      <c r="G35" s="104"/>
      <c r="H35" s="105"/>
    </row>
    <row r="36" spans="2:8" ht="82.5" customHeight="1" x14ac:dyDescent="0.25">
      <c r="B36" s="101"/>
      <c r="C36" s="165" t="s">
        <v>191</v>
      </c>
      <c r="D36" s="166"/>
      <c r="E36" s="163" t="s">
        <v>190</v>
      </c>
      <c r="F36" s="164"/>
      <c r="G36" s="104"/>
      <c r="H36" s="105"/>
    </row>
    <row r="37" spans="2:8" ht="46.5" customHeight="1" x14ac:dyDescent="0.25">
      <c r="B37" s="101"/>
      <c r="C37" s="165" t="s">
        <v>38</v>
      </c>
      <c r="D37" s="166"/>
      <c r="E37" s="163" t="s">
        <v>192</v>
      </c>
      <c r="F37" s="164"/>
      <c r="G37" s="104"/>
      <c r="H37" s="105"/>
    </row>
    <row r="38" spans="2:8" ht="6.75" customHeight="1" thickBot="1" x14ac:dyDescent="0.3">
      <c r="B38" s="101"/>
      <c r="C38" s="176"/>
      <c r="D38" s="177"/>
      <c r="E38" s="178"/>
      <c r="F38" s="179"/>
      <c r="G38" s="104"/>
      <c r="H38" s="105"/>
    </row>
    <row r="39" spans="2:8" ht="15.75" thickTop="1" x14ac:dyDescent="0.25">
      <c r="B39" s="101"/>
      <c r="C39" s="102"/>
      <c r="D39" s="102"/>
      <c r="E39" s="103"/>
      <c r="F39" s="103"/>
      <c r="G39" s="104"/>
      <c r="H39" s="105"/>
    </row>
    <row r="40" spans="2:8" ht="21" customHeight="1" x14ac:dyDescent="0.25">
      <c r="B40" s="173" t="s">
        <v>201</v>
      </c>
      <c r="C40" s="174"/>
      <c r="D40" s="174"/>
      <c r="E40" s="174"/>
      <c r="F40" s="174"/>
      <c r="G40" s="174"/>
      <c r="H40" s="175"/>
    </row>
    <row r="41" spans="2:8" ht="20.25" customHeight="1" x14ac:dyDescent="0.25">
      <c r="B41" s="173" t="s">
        <v>202</v>
      </c>
      <c r="C41" s="174"/>
      <c r="D41" s="174"/>
      <c r="E41" s="174"/>
      <c r="F41" s="174"/>
      <c r="G41" s="174"/>
      <c r="H41" s="175"/>
    </row>
    <row r="42" spans="2:8" ht="20.25" customHeight="1" x14ac:dyDescent="0.25">
      <c r="B42" s="173" t="s">
        <v>203</v>
      </c>
      <c r="C42" s="174"/>
      <c r="D42" s="174"/>
      <c r="E42" s="174"/>
      <c r="F42" s="174"/>
      <c r="G42" s="174"/>
      <c r="H42" s="175"/>
    </row>
    <row r="43" spans="2:8" ht="20.25" customHeight="1" x14ac:dyDescent="0.25">
      <c r="B43" s="173" t="s">
        <v>204</v>
      </c>
      <c r="C43" s="174"/>
      <c r="D43" s="174"/>
      <c r="E43" s="174"/>
      <c r="F43" s="174"/>
      <c r="G43" s="174"/>
      <c r="H43" s="175"/>
    </row>
    <row r="44" spans="2:8" x14ac:dyDescent="0.25">
      <c r="B44" s="173" t="s">
        <v>205</v>
      </c>
      <c r="C44" s="174"/>
      <c r="D44" s="174"/>
      <c r="E44" s="174"/>
      <c r="F44" s="174"/>
      <c r="G44" s="174"/>
      <c r="H44" s="175"/>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T20"/>
  <sheetViews>
    <sheetView showGridLines="0" tabSelected="1" topLeftCell="AQ11" zoomScale="66" zoomScaleNormal="70" workbookViewId="0">
      <selection activeCell="AS11" sqref="AS11"/>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30.42578125" style="1" hidden="1" customWidth="1"/>
    <col min="16" max="16" width="17.42578125" style="1" customWidth="1"/>
    <col min="17" max="17" width="6.28515625" style="1" bestFit="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hidden="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75.140625" style="1" customWidth="1"/>
    <col min="41" max="42" width="21" style="1" customWidth="1"/>
    <col min="43" max="43" width="73.7109375" style="1" customWidth="1"/>
    <col min="44" max="44" width="20.7109375" style="1" customWidth="1"/>
    <col min="45" max="45" width="15.42578125" style="1" customWidth="1"/>
    <col min="46" max="46" width="128.85546875" style="1" customWidth="1"/>
    <col min="47" max="47" width="17.28515625" style="1" customWidth="1"/>
    <col min="48" max="16384" width="11.42578125" style="1"/>
  </cols>
  <sheetData>
    <row r="1" spans="1:72" ht="38.450000000000003" hidden="1" customHeight="1" x14ac:dyDescent="0.3">
      <c r="A1" s="221" t="s">
        <v>213</v>
      </c>
      <c r="B1" s="221"/>
      <c r="C1" s="221"/>
      <c r="D1" s="221"/>
      <c r="E1" s="223" t="s">
        <v>214</v>
      </c>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8" t="s">
        <v>215</v>
      </c>
      <c r="AU1" s="229"/>
    </row>
    <row r="2" spans="1:72" ht="33.6" customHeight="1" x14ac:dyDescent="0.3">
      <c r="A2" s="221"/>
      <c r="B2" s="221"/>
      <c r="C2" s="221"/>
      <c r="D2" s="221"/>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30" t="s">
        <v>222</v>
      </c>
      <c r="AU2" s="231"/>
    </row>
    <row r="3" spans="1:72" ht="13.9" customHeight="1" x14ac:dyDescent="0.3">
      <c r="A3" s="221"/>
      <c r="B3" s="221"/>
      <c r="C3" s="221"/>
      <c r="D3" s="221"/>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30" t="s">
        <v>223</v>
      </c>
      <c r="AU3" s="231"/>
    </row>
    <row r="4" spans="1:72" ht="13.9" customHeight="1" x14ac:dyDescent="0.3">
      <c r="A4" s="221"/>
      <c r="B4" s="221"/>
      <c r="C4" s="221"/>
      <c r="D4" s="221"/>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32" t="s">
        <v>216</v>
      </c>
      <c r="AU4" s="233"/>
    </row>
    <row r="5" spans="1:72" ht="26.25" customHeight="1" x14ac:dyDescent="0.3">
      <c r="A5" s="204" t="s">
        <v>42</v>
      </c>
      <c r="B5" s="205"/>
      <c r="C5" s="210" t="s">
        <v>254</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9"/>
      <c r="AV5" s="5"/>
      <c r="AW5" s="5"/>
      <c r="AX5" s="5"/>
      <c r="AY5" s="5"/>
      <c r="AZ5" s="5"/>
      <c r="BA5" s="5"/>
      <c r="BB5" s="5"/>
      <c r="BC5" s="5"/>
      <c r="BD5" s="5"/>
      <c r="BE5" s="5"/>
      <c r="BF5" s="5"/>
      <c r="BG5" s="5"/>
      <c r="BH5" s="5"/>
      <c r="BI5" s="5"/>
      <c r="BJ5" s="5"/>
      <c r="BK5" s="5"/>
      <c r="BL5" s="5"/>
      <c r="BM5" s="5"/>
      <c r="BN5" s="5"/>
      <c r="BO5" s="5"/>
      <c r="BP5" s="5"/>
      <c r="BQ5" s="5"/>
      <c r="BR5" s="5"/>
      <c r="BS5" s="5"/>
      <c r="BT5" s="5"/>
    </row>
    <row r="6" spans="1:72" ht="30" customHeight="1" x14ac:dyDescent="0.3">
      <c r="A6" s="204" t="s">
        <v>129</v>
      </c>
      <c r="B6" s="205"/>
      <c r="C6" s="207" t="s">
        <v>255</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9"/>
      <c r="AV6" s="5"/>
      <c r="AW6" s="5"/>
      <c r="AX6" s="5"/>
      <c r="AY6" s="5"/>
      <c r="AZ6" s="5"/>
      <c r="BA6" s="5"/>
      <c r="BB6" s="5"/>
      <c r="BC6" s="5"/>
      <c r="BD6" s="5"/>
      <c r="BE6" s="5"/>
      <c r="BF6" s="5"/>
      <c r="BG6" s="5"/>
      <c r="BH6" s="5"/>
      <c r="BI6" s="5"/>
      <c r="BJ6" s="5"/>
      <c r="BK6" s="5"/>
      <c r="BL6" s="5"/>
      <c r="BM6" s="5"/>
      <c r="BN6" s="5"/>
      <c r="BO6" s="5"/>
      <c r="BP6" s="5"/>
      <c r="BQ6" s="5"/>
      <c r="BR6" s="5"/>
      <c r="BS6" s="5"/>
      <c r="BT6" s="5"/>
    </row>
    <row r="7" spans="1:72" ht="24" customHeight="1" x14ac:dyDescent="0.3">
      <c r="A7" s="204" t="s">
        <v>43</v>
      </c>
      <c r="B7" s="205"/>
      <c r="C7" s="207" t="s">
        <v>256</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9"/>
      <c r="AV7" s="5"/>
      <c r="AW7" s="5"/>
      <c r="AX7" s="5"/>
      <c r="AY7" s="5"/>
      <c r="AZ7" s="5"/>
      <c r="BA7" s="5"/>
      <c r="BB7" s="5"/>
      <c r="BC7" s="5"/>
      <c r="BD7" s="5"/>
      <c r="BE7" s="5"/>
      <c r="BF7" s="5"/>
      <c r="BG7" s="5"/>
      <c r="BH7" s="5"/>
      <c r="BI7" s="5"/>
      <c r="BJ7" s="5"/>
      <c r="BK7" s="5"/>
      <c r="BL7" s="5"/>
      <c r="BM7" s="5"/>
      <c r="BN7" s="5"/>
      <c r="BO7" s="5"/>
      <c r="BP7" s="5"/>
      <c r="BQ7" s="5"/>
      <c r="BR7" s="5"/>
      <c r="BS7" s="5"/>
      <c r="BT7" s="5"/>
    </row>
    <row r="8" spans="1:72" x14ac:dyDescent="0.3">
      <c r="A8" s="202" t="s">
        <v>138</v>
      </c>
      <c r="B8" s="202"/>
      <c r="C8" s="202"/>
      <c r="D8" s="202"/>
      <c r="E8" s="206"/>
      <c r="F8" s="206"/>
      <c r="G8" s="206"/>
      <c r="H8" s="206"/>
      <c r="I8" s="206"/>
      <c r="J8" s="206"/>
      <c r="K8" s="206"/>
      <c r="L8" s="206" t="s">
        <v>139</v>
      </c>
      <c r="M8" s="206"/>
      <c r="N8" s="206"/>
      <c r="O8" s="206"/>
      <c r="P8" s="206"/>
      <c r="Q8" s="206"/>
      <c r="R8" s="206"/>
      <c r="S8" s="206" t="s">
        <v>140</v>
      </c>
      <c r="T8" s="206"/>
      <c r="U8" s="206"/>
      <c r="V8" s="206"/>
      <c r="W8" s="206"/>
      <c r="X8" s="206"/>
      <c r="Y8" s="206"/>
      <c r="Z8" s="206"/>
      <c r="AA8" s="206"/>
      <c r="AB8" s="206"/>
      <c r="AC8" s="206" t="s">
        <v>141</v>
      </c>
      <c r="AD8" s="206"/>
      <c r="AE8" s="206"/>
      <c r="AF8" s="206"/>
      <c r="AG8" s="206"/>
      <c r="AH8" s="206"/>
      <c r="AI8" s="206"/>
      <c r="AJ8" s="224" t="s">
        <v>34</v>
      </c>
      <c r="AK8" s="225"/>
      <c r="AL8" s="225"/>
      <c r="AM8" s="225"/>
      <c r="AN8" s="225"/>
      <c r="AO8" s="225"/>
      <c r="AP8" s="225"/>
      <c r="AQ8" s="225"/>
      <c r="AR8" s="225"/>
      <c r="AS8" s="225"/>
      <c r="AT8" s="225"/>
      <c r="AU8" s="225"/>
      <c r="AV8" s="5"/>
      <c r="AW8" s="5"/>
      <c r="AX8" s="5"/>
      <c r="AY8" s="5"/>
      <c r="AZ8" s="5"/>
      <c r="BA8" s="5"/>
      <c r="BB8" s="5"/>
      <c r="BC8" s="5"/>
      <c r="BD8" s="5"/>
      <c r="BE8" s="5"/>
      <c r="BF8" s="5"/>
      <c r="BG8" s="5"/>
      <c r="BH8" s="5"/>
      <c r="BI8" s="5"/>
      <c r="BJ8" s="5"/>
      <c r="BK8" s="5"/>
      <c r="BL8" s="5"/>
      <c r="BM8" s="5"/>
      <c r="BN8" s="5"/>
      <c r="BO8" s="5"/>
      <c r="BP8" s="5"/>
      <c r="BQ8" s="5"/>
      <c r="BR8" s="5"/>
      <c r="BS8" s="5"/>
      <c r="BT8" s="5"/>
    </row>
    <row r="9" spans="1:72" ht="16.5" customHeight="1" x14ac:dyDescent="0.3">
      <c r="A9" s="222" t="s">
        <v>0</v>
      </c>
      <c r="B9" s="202" t="s">
        <v>13</v>
      </c>
      <c r="C9" s="202" t="s">
        <v>236</v>
      </c>
      <c r="D9" s="202" t="s">
        <v>2</v>
      </c>
      <c r="E9" s="203" t="s">
        <v>3</v>
      </c>
      <c r="F9" s="203" t="s">
        <v>41</v>
      </c>
      <c r="G9" s="202" t="s">
        <v>1</v>
      </c>
      <c r="H9" s="203" t="s">
        <v>49</v>
      </c>
      <c r="I9" s="203" t="s">
        <v>252</v>
      </c>
      <c r="J9" s="203" t="s">
        <v>253</v>
      </c>
      <c r="K9" s="203" t="s">
        <v>134</v>
      </c>
      <c r="L9" s="203" t="s">
        <v>33</v>
      </c>
      <c r="M9" s="202" t="s">
        <v>5</v>
      </c>
      <c r="N9" s="203" t="s">
        <v>86</v>
      </c>
      <c r="O9" s="203" t="s">
        <v>91</v>
      </c>
      <c r="P9" s="203" t="s">
        <v>44</v>
      </c>
      <c r="Q9" s="202" t="s">
        <v>5</v>
      </c>
      <c r="R9" s="203" t="s">
        <v>47</v>
      </c>
      <c r="S9" s="211" t="s">
        <v>11</v>
      </c>
      <c r="T9" s="203" t="s">
        <v>160</v>
      </c>
      <c r="U9" s="203" t="s">
        <v>212</v>
      </c>
      <c r="V9" s="203" t="s">
        <v>12</v>
      </c>
      <c r="W9" s="203" t="s">
        <v>8</v>
      </c>
      <c r="X9" s="203"/>
      <c r="Y9" s="203"/>
      <c r="Z9" s="203"/>
      <c r="AA9" s="203"/>
      <c r="AB9" s="203"/>
      <c r="AC9" s="211" t="s">
        <v>137</v>
      </c>
      <c r="AD9" s="211" t="s">
        <v>45</v>
      </c>
      <c r="AE9" s="211" t="s">
        <v>5</v>
      </c>
      <c r="AF9" s="211" t="s">
        <v>46</v>
      </c>
      <c r="AG9" s="211" t="s">
        <v>5</v>
      </c>
      <c r="AH9" s="211" t="s">
        <v>48</v>
      </c>
      <c r="AI9" s="211" t="s">
        <v>29</v>
      </c>
      <c r="AJ9" s="203" t="s">
        <v>34</v>
      </c>
      <c r="AK9" s="203" t="s">
        <v>35</v>
      </c>
      <c r="AL9" s="203" t="s">
        <v>36</v>
      </c>
      <c r="AM9" s="203" t="s">
        <v>37</v>
      </c>
      <c r="AN9" s="203" t="s">
        <v>224</v>
      </c>
      <c r="AO9" s="203" t="s">
        <v>38</v>
      </c>
      <c r="AP9" s="226" t="s">
        <v>37</v>
      </c>
      <c r="AQ9" s="203" t="s">
        <v>225</v>
      </c>
      <c r="AR9" s="203" t="s">
        <v>38</v>
      </c>
      <c r="AS9" s="203" t="s">
        <v>37</v>
      </c>
      <c r="AT9" s="203" t="s">
        <v>226</v>
      </c>
      <c r="AU9" s="203" t="s">
        <v>38</v>
      </c>
      <c r="AV9" s="5"/>
      <c r="AW9" s="5"/>
      <c r="AX9" s="5"/>
      <c r="AY9" s="5"/>
      <c r="AZ9" s="5"/>
      <c r="BA9" s="5"/>
      <c r="BB9" s="5"/>
      <c r="BC9" s="5"/>
      <c r="BD9" s="5"/>
      <c r="BE9" s="5"/>
      <c r="BF9" s="5"/>
      <c r="BG9" s="5"/>
      <c r="BH9" s="5"/>
      <c r="BI9" s="5"/>
      <c r="BJ9" s="5"/>
      <c r="BK9" s="5"/>
      <c r="BL9" s="5"/>
      <c r="BM9" s="5"/>
      <c r="BN9" s="5"/>
      <c r="BO9" s="5"/>
      <c r="BP9" s="5"/>
      <c r="BQ9" s="5"/>
      <c r="BR9" s="5"/>
      <c r="BS9" s="5"/>
      <c r="BT9" s="5"/>
    </row>
    <row r="10" spans="1:72" s="3" customFormat="1" ht="52.5" customHeight="1" x14ac:dyDescent="0.25">
      <c r="A10" s="222"/>
      <c r="B10" s="202"/>
      <c r="C10" s="202"/>
      <c r="D10" s="202"/>
      <c r="E10" s="203"/>
      <c r="F10" s="203"/>
      <c r="G10" s="202"/>
      <c r="H10" s="203"/>
      <c r="I10" s="203"/>
      <c r="J10" s="203"/>
      <c r="K10" s="203"/>
      <c r="L10" s="203"/>
      <c r="M10" s="202"/>
      <c r="N10" s="203"/>
      <c r="O10" s="203"/>
      <c r="P10" s="202"/>
      <c r="Q10" s="202"/>
      <c r="R10" s="203"/>
      <c r="S10" s="211"/>
      <c r="T10" s="203"/>
      <c r="U10" s="203"/>
      <c r="V10" s="203"/>
      <c r="W10" s="140" t="s">
        <v>13</v>
      </c>
      <c r="X10" s="140" t="s">
        <v>17</v>
      </c>
      <c r="Y10" s="140" t="s">
        <v>28</v>
      </c>
      <c r="Z10" s="140" t="s">
        <v>18</v>
      </c>
      <c r="AA10" s="140" t="s">
        <v>21</v>
      </c>
      <c r="AB10" s="140" t="s">
        <v>24</v>
      </c>
      <c r="AC10" s="211"/>
      <c r="AD10" s="211"/>
      <c r="AE10" s="211"/>
      <c r="AF10" s="211"/>
      <c r="AG10" s="211"/>
      <c r="AH10" s="211"/>
      <c r="AI10" s="211"/>
      <c r="AJ10" s="203"/>
      <c r="AK10" s="203"/>
      <c r="AL10" s="203"/>
      <c r="AM10" s="203"/>
      <c r="AN10" s="203"/>
      <c r="AO10" s="203"/>
      <c r="AP10" s="227"/>
      <c r="AQ10" s="203"/>
      <c r="AR10" s="203"/>
      <c r="AS10" s="203"/>
      <c r="AT10" s="203"/>
      <c r="AU10" s="203"/>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row>
    <row r="11" spans="1:72" s="3" customFormat="1" ht="7.5" customHeight="1" x14ac:dyDescent="0.25">
      <c r="A11" s="140"/>
      <c r="B11" s="159"/>
      <c r="C11" s="159"/>
      <c r="D11" s="159"/>
      <c r="E11" s="158"/>
      <c r="F11" s="158"/>
      <c r="G11" s="159"/>
      <c r="H11" s="158"/>
      <c r="I11" s="158"/>
      <c r="J11" s="158"/>
      <c r="K11" s="158"/>
      <c r="L11" s="158"/>
      <c r="M11" s="159"/>
      <c r="N11" s="158"/>
      <c r="O11" s="158"/>
      <c r="P11" s="159"/>
      <c r="Q11" s="159"/>
      <c r="R11" s="158"/>
      <c r="S11" s="160"/>
      <c r="T11" s="158"/>
      <c r="U11" s="158"/>
      <c r="V11" s="158"/>
      <c r="W11" s="140"/>
      <c r="X11" s="140"/>
      <c r="Y11" s="140"/>
      <c r="Z11" s="140"/>
      <c r="AA11" s="140"/>
      <c r="AB11" s="140"/>
      <c r="AC11" s="160"/>
      <c r="AD11" s="160"/>
      <c r="AE11" s="160"/>
      <c r="AF11" s="160"/>
      <c r="AG11" s="160"/>
      <c r="AH11" s="160"/>
      <c r="AI11" s="160"/>
      <c r="AJ11" s="158"/>
      <c r="AK11" s="158"/>
      <c r="AL11" s="158"/>
      <c r="AM11" s="158"/>
      <c r="AN11" s="158"/>
      <c r="AO11" s="158"/>
      <c r="AP11" s="158"/>
      <c r="AQ11" s="158"/>
      <c r="AR11" s="158"/>
      <c r="AS11" s="158"/>
      <c r="AT11" s="158"/>
      <c r="AU11" s="158"/>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row>
    <row r="12" spans="1:72" ht="409.5" customHeight="1" x14ac:dyDescent="0.3">
      <c r="A12" s="116">
        <v>1</v>
      </c>
      <c r="B12" s="116" t="s">
        <v>235</v>
      </c>
      <c r="C12" s="116" t="s">
        <v>239</v>
      </c>
      <c r="D12" s="141" t="s">
        <v>133</v>
      </c>
      <c r="E12" s="141" t="s">
        <v>257</v>
      </c>
      <c r="F12" s="142" t="s">
        <v>258</v>
      </c>
      <c r="G12" s="143" t="s">
        <v>274</v>
      </c>
      <c r="H12" s="141" t="s">
        <v>122</v>
      </c>
      <c r="I12" s="117" t="s">
        <v>245</v>
      </c>
      <c r="J12" s="117" t="s">
        <v>247</v>
      </c>
      <c r="K12" s="144">
        <v>68</v>
      </c>
      <c r="L12" s="145" t="str">
        <f>IF(K12&lt;=0,"",IF(K12&lt;=2,"Muy Baja",IF(K12&lt;=24,"Baja",IF(K12&lt;=500,"Media",IF(K12&lt;=5000,"Alta","Muy Alta")))))</f>
        <v>Media</v>
      </c>
      <c r="M12" s="139">
        <f>IF(L12="","",IF(L12="Muy Baja",0.2,IF(L12="Baja",0.4,IF(L12="Media",0.6,IF(L12="Alta",0.8,IF(L12="Muy Alta",1,))))))</f>
        <v>0.6</v>
      </c>
      <c r="N12" s="146" t="s">
        <v>147</v>
      </c>
      <c r="O12" s="139" t="str">
        <f>IF(NOT(ISERROR(MATCH(N12,'[1]Tabla Impacto'!$B$221:$B$223,0))),'[1]Tabla Impacto'!$F$223&amp;"Por favor no seleccionar los criterios de impacto(Afectación Económica o presupuestal y Pérdida Reputacional)",N12)</f>
        <v xml:space="preserve">     Entre 10 y 50 SMLMV </v>
      </c>
      <c r="P12" s="147" t="str">
        <f>IF(OR(O12='[1]Tabla Impacto'!$C$11,O12='[1]Tabla Impacto'!$D$11),"Leve",IF(OR(O12='[1]Tabla Impacto'!$C$12,O12='[1]Tabla Impacto'!$D$12),"Menor",IF(OR(O12='[1]Tabla Impacto'!$C$13,O12='[1]Tabla Impacto'!$D$13),"Moderado",IF(OR(O12='[1]Tabla Impacto'!$C$14,O12='[1]Tabla Impacto'!$D$14),"Mayor",IF(OR(O12='[1]Tabla Impacto'!$C$15,O12='[1]Tabla Impacto'!$D$15),"Catastrófico","")))))</f>
        <v>Menor</v>
      </c>
      <c r="Q12" s="148">
        <f>IF(P12="","",IF(P12="Leve",0.2,IF(P12="Menor",0.4,IF(P12="Moderado",0.6,IF(P12="Mayor",0.8,IF(P12="Catastrófico",1,))))))</f>
        <v>0.4</v>
      </c>
      <c r="R12" s="149"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50">
        <v>1</v>
      </c>
      <c r="T12" s="119" t="s">
        <v>261</v>
      </c>
      <c r="U12" s="151" t="s">
        <v>262</v>
      </c>
      <c r="V12" s="152" t="str">
        <f>IF(OR(W12="Preventivo",W12="Detectivo"),"Probabilidad",IF(W12="Correctivo","Impacto",""))</f>
        <v>Probabilidad</v>
      </c>
      <c r="W12" s="120" t="s">
        <v>14</v>
      </c>
      <c r="X12" s="120" t="s">
        <v>9</v>
      </c>
      <c r="Y12" s="121" t="str">
        <f>IF(AND(W12="Preventivo",X12="Automático"),"50%",IF(AND(W12="Preventivo",X12="Manual"),"40%",IF(AND(W12="Detectivo",X12="Automático"),"40%",IF(AND(W12="Detectivo",X12="Manual"),"30%",IF(AND(W12="Correctivo",X12="Automático"),"35%",IF(AND(W12="Correctivo",X12="Manual"),"25%",""))))))</f>
        <v>40%</v>
      </c>
      <c r="Z12" s="120" t="s">
        <v>20</v>
      </c>
      <c r="AA12" s="120" t="s">
        <v>23</v>
      </c>
      <c r="AB12" s="120" t="s">
        <v>119</v>
      </c>
      <c r="AC12" s="122">
        <f>IFERROR(IF(V12="Probabilidad",(M12-(+M12*Y12)),IF(V12="Impacto",M12,"")),"")</f>
        <v>0.36</v>
      </c>
      <c r="AD12" s="153" t="str">
        <f>IFERROR(IF(AC12="","",IF(AC12&lt;=0.2,"Muy Baja",IF(AC12&lt;=0.4,"Baja",IF(AC12&lt;=0.6,"Media",IF(AC12&lt;=0.8,"Alta","Muy Alta"))))),"")</f>
        <v>Baja</v>
      </c>
      <c r="AE12" s="121">
        <f>+AC12</f>
        <v>0.36</v>
      </c>
      <c r="AF12" s="153" t="str">
        <f>IFERROR(IF(AG12="","",IF(AG12&lt;=0.2,"Leve",IF(AG12&lt;=0.4,"Menor",IF(AG12&lt;=0.6,"Moderado",IF(AG12&lt;=0.8,"Mayor","Catastrófico"))))),"")</f>
        <v>Menor</v>
      </c>
      <c r="AG12" s="121">
        <f>IFERROR(IF(V12="Impacto",(Q12-(+Q12*Y12)),IF(V12="Probabilidad",Q12,"")),"")</f>
        <v>0.4</v>
      </c>
      <c r="AH12" s="123"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20" t="s">
        <v>135</v>
      </c>
      <c r="AJ12" s="154" t="s">
        <v>270</v>
      </c>
      <c r="AK12" s="154" t="s">
        <v>263</v>
      </c>
      <c r="AL12" s="155">
        <v>44895</v>
      </c>
      <c r="AM12" s="124">
        <v>44697</v>
      </c>
      <c r="AN12" s="157" t="s">
        <v>271</v>
      </c>
      <c r="AO12" s="118" t="s">
        <v>40</v>
      </c>
      <c r="AP12" s="124">
        <v>44784</v>
      </c>
      <c r="AQ12" s="157" t="s">
        <v>273</v>
      </c>
      <c r="AR12" s="118" t="s">
        <v>40</v>
      </c>
      <c r="AS12" s="124">
        <v>44880</v>
      </c>
      <c r="AT12" s="162" t="s">
        <v>275</v>
      </c>
      <c r="AU12" s="118" t="s">
        <v>39</v>
      </c>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72.9" customHeight="1" x14ac:dyDescent="0.3">
      <c r="A13" s="116">
        <v>2</v>
      </c>
      <c r="B13" s="116" t="s">
        <v>235</v>
      </c>
      <c r="C13" s="116" t="s">
        <v>238</v>
      </c>
      <c r="D13" s="141" t="s">
        <v>133</v>
      </c>
      <c r="E13" s="141" t="s">
        <v>257</v>
      </c>
      <c r="F13" s="141" t="s">
        <v>259</v>
      </c>
      <c r="G13" s="143" t="s">
        <v>260</v>
      </c>
      <c r="H13" s="141" t="s">
        <v>122</v>
      </c>
      <c r="I13" s="117" t="s">
        <v>245</v>
      </c>
      <c r="J13" s="117" t="s">
        <v>247</v>
      </c>
      <c r="K13" s="118">
        <v>7</v>
      </c>
      <c r="L13" s="147" t="str">
        <f>IF(K13&lt;=0,"",IF(K13&lt;=2,"Muy Baja",IF(K13&lt;=24,"Baja",IF(K13&lt;=500,"Media",IF(K13&lt;=5000,"Alta","Muy Alta")))))</f>
        <v>Baja</v>
      </c>
      <c r="M13" s="148">
        <f>IF(L13="","",IF(L13="Muy Baja",0.2,IF(L13="Baja",0.4,IF(L13="Media",0.6,IF(L13="Alta",0.8,IF(L13="Muy Alta",1,))))))</f>
        <v>0.4</v>
      </c>
      <c r="N13" s="156" t="s">
        <v>151</v>
      </c>
      <c r="O13" s="139" t="str">
        <f>IF(NOT(ISERROR(MATCH(N13,'[1]Tabla Impacto'!$B$221:$B$223,0))),'[1]Tabla Impacto'!$F$223&amp;"Por favor no seleccionar los criterios de impacto(Afectación Económica o presupuestal y Pérdida Reputacional)",N13)</f>
        <v xml:space="preserve">     El riesgo afecta la imagen de la entidad internamente, de conocimiento general, nivel interno, de junta dircetiva y accionistas y/o de provedores</v>
      </c>
      <c r="P13" s="147" t="str">
        <f>IF(OR(O13='[1]Tabla Impacto'!$C$11,O13='[1]Tabla Impacto'!$D$11),"Leve",IF(OR(O13='[1]Tabla Impacto'!$C$12,O13='[1]Tabla Impacto'!$D$12),"Menor",IF(OR(O13='[1]Tabla Impacto'!$C$13,O13='[1]Tabla Impacto'!$D$13),"Moderado",IF(OR(O13='[1]Tabla Impacto'!$C$14,O13='[1]Tabla Impacto'!$D$14),"Mayor",IF(OR(O13='[1]Tabla Impacto'!$C$15,O13='[1]Tabla Impacto'!$D$15),"Catastrófico","")))))</f>
        <v>Menor</v>
      </c>
      <c r="Q13" s="139">
        <f>IF(P13="","",IF(P13="Leve",0.2,IF(P13="Menor",0.4,IF(P13="Moderado",0.6,IF(P13="Mayor",0.8,IF(P13="Catastrófico",1,))))))</f>
        <v>0.4</v>
      </c>
      <c r="R13" s="149"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50">
        <v>1</v>
      </c>
      <c r="T13" s="119" t="s">
        <v>264</v>
      </c>
      <c r="U13" s="119" t="s">
        <v>265</v>
      </c>
      <c r="V13" s="152" t="str">
        <f>IF(OR(W13="Preventivo",W13="Detectivo"),"Probabilidad",IF(W13="Correctivo","Impacto",""))</f>
        <v>Probabilidad</v>
      </c>
      <c r="W13" s="120" t="s">
        <v>14</v>
      </c>
      <c r="X13" s="120" t="s">
        <v>9</v>
      </c>
      <c r="Y13" s="121" t="str">
        <f>IF(AND(W13="Preventivo",X13="Automático"),"50%",IF(AND(W13="Preventivo",X13="Manual"),"40%",IF(AND(W13="Detectivo",X13="Automático"),"40%",IF(AND(W13="Detectivo",X13="Manual"),"30%",IF(AND(W13="Correctivo",X13="Automático"),"35%",IF(AND(W13="Correctivo",X13="Manual"),"25%",""))))))</f>
        <v>40%</v>
      </c>
      <c r="Z13" s="120" t="s">
        <v>19</v>
      </c>
      <c r="AA13" s="120" t="s">
        <v>22</v>
      </c>
      <c r="AB13" s="120" t="s">
        <v>118</v>
      </c>
      <c r="AC13" s="122">
        <f>IFERROR(IF(V13="Probabilidad",(M13-(+M13*Y13)),IF(V13="Impacto",M13,"")),"")</f>
        <v>0.24</v>
      </c>
      <c r="AD13" s="153" t="str">
        <f>IFERROR(IF(AC13="","",IF(AC13&lt;=0.2,"Muy Baja",IF(AC13&lt;=0.4,"Baja",IF(AC13&lt;=0.6,"Media",IF(AC13&lt;=0.8,"Alta","Muy Alta"))))),"")</f>
        <v>Baja</v>
      </c>
      <c r="AE13" s="121">
        <f>+AC13</f>
        <v>0.24</v>
      </c>
      <c r="AF13" s="153" t="str">
        <f>IFERROR(IF(AG13="","",IF(AG13&lt;=0.2,"Leve",IF(AG13&lt;=0.4,"Menor",IF(AG13&lt;=0.6,"Moderado",IF(AG13&lt;=0.8,"Mayor","Catastrófico"))))),"")</f>
        <v>Menor</v>
      </c>
      <c r="AG13" s="121">
        <f>IFERROR(IF(V13="Impacto",(Q13-(+Q13*Y13)),IF(V13="Probabilidad",Q13,"")),"")</f>
        <v>0.4</v>
      </c>
      <c r="AH13" s="123"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20" t="s">
        <v>135</v>
      </c>
      <c r="AJ13" s="154" t="s">
        <v>266</v>
      </c>
      <c r="AK13" s="154" t="s">
        <v>267</v>
      </c>
      <c r="AL13" s="155">
        <v>44895</v>
      </c>
      <c r="AM13" s="124">
        <v>44697</v>
      </c>
      <c r="AN13" s="157" t="s">
        <v>269</v>
      </c>
      <c r="AO13" s="118" t="s">
        <v>40</v>
      </c>
      <c r="AP13" s="124">
        <v>44784</v>
      </c>
      <c r="AQ13" s="157" t="s">
        <v>272</v>
      </c>
      <c r="AR13" s="118" t="s">
        <v>40</v>
      </c>
      <c r="AS13" s="124">
        <v>44880</v>
      </c>
      <c r="AT13" s="162" t="s">
        <v>276</v>
      </c>
      <c r="AU13" s="118"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49.5" customHeight="1" x14ac:dyDescent="0.3">
      <c r="A14" s="115"/>
      <c r="B14" s="138"/>
      <c r="C14" s="138"/>
      <c r="D14" s="217" t="s">
        <v>130</v>
      </c>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9"/>
      <c r="AP14" s="161"/>
    </row>
    <row r="16" spans="1:72" x14ac:dyDescent="0.3">
      <c r="A16" s="125"/>
      <c r="B16" s="126"/>
      <c r="C16" s="126"/>
      <c r="D16" s="126"/>
      <c r="E16" s="126"/>
      <c r="F16" s="126"/>
      <c r="G16" s="126"/>
      <c r="H16" s="1"/>
      <c r="I16" s="1"/>
      <c r="J16" s="1"/>
      <c r="L16" s="129"/>
      <c r="M16" s="126"/>
      <c r="N16" s="126"/>
      <c r="O16" s="126"/>
      <c r="P16" s="126"/>
      <c r="Q16" s="126"/>
      <c r="R16" s="126"/>
      <c r="S16" s="126"/>
      <c r="T16" s="126"/>
      <c r="U16" s="126"/>
      <c r="V16" s="130"/>
      <c r="W16" s="130"/>
      <c r="X16" s="126"/>
      <c r="Y16" s="126"/>
      <c r="Z16" s="126"/>
      <c r="AA16" s="126"/>
      <c r="AB16" s="126"/>
      <c r="AC16" s="126"/>
      <c r="AD16" s="126"/>
      <c r="AE16" s="126"/>
      <c r="AF16" s="126"/>
      <c r="AG16" s="126"/>
      <c r="AH16" s="126"/>
      <c r="AI16" s="131"/>
      <c r="AJ16" s="131"/>
      <c r="AK16" s="126"/>
      <c r="AL16" s="126"/>
      <c r="AM16" s="126"/>
      <c r="AN16" s="126"/>
      <c r="AO16" s="126"/>
      <c r="AP16" s="126"/>
      <c r="AQ16" s="126"/>
    </row>
    <row r="17" spans="1:43" ht="18" x14ac:dyDescent="0.3">
      <c r="A17" s="220" t="s">
        <v>268</v>
      </c>
      <c r="B17" s="220"/>
      <c r="C17" s="220"/>
      <c r="D17" s="220"/>
      <c r="E17" s="220"/>
      <c r="F17" s="220"/>
      <c r="G17" s="220"/>
      <c r="H17" s="1"/>
      <c r="I17" s="1"/>
      <c r="J17" s="1"/>
      <c r="K17" s="214" t="s">
        <v>277</v>
      </c>
      <c r="L17" s="215"/>
      <c r="M17" s="215"/>
      <c r="N17" s="216"/>
      <c r="O17" s="126"/>
      <c r="P17" s="126"/>
      <c r="Q17" s="126"/>
      <c r="R17" s="126"/>
      <c r="S17" s="126"/>
      <c r="T17" s="126"/>
      <c r="U17" s="131"/>
      <c r="V17" s="130"/>
      <c r="W17" s="130"/>
      <c r="X17" s="126"/>
      <c r="Y17" s="130"/>
      <c r="Z17" s="130"/>
      <c r="AA17" s="126"/>
      <c r="AB17" s="126"/>
      <c r="AC17" s="126"/>
      <c r="AD17" s="126"/>
      <c r="AE17" s="126"/>
      <c r="AF17" s="126"/>
      <c r="AG17" s="126"/>
      <c r="AH17" s="126"/>
      <c r="AI17" s="126"/>
      <c r="AJ17" s="126"/>
      <c r="AK17" s="126"/>
      <c r="AL17" s="126"/>
      <c r="AM17" s="126"/>
      <c r="AN17" s="126"/>
      <c r="AO17" s="126"/>
      <c r="AP17" s="126"/>
      <c r="AQ17" s="126"/>
    </row>
    <row r="18" spans="1:43" ht="17.25" thickBot="1" x14ac:dyDescent="0.35">
      <c r="A18"/>
      <c r="B18"/>
      <c r="C18"/>
      <c r="D18"/>
      <c r="E18"/>
      <c r="F18"/>
      <c r="G18"/>
      <c r="H18" s="1"/>
      <c r="I18" s="1"/>
      <c r="J18" s="1"/>
      <c r="L18" s="127" t="str">
        <f>+IFERROR(VLOOKUP(H18,$H$173:$L$177,3,FALSE)*VLOOKUP(K18,$K$173:$L$177,3,FALSE),"")</f>
        <v/>
      </c>
      <c r="M18"/>
      <c r="N18"/>
      <c r="O18"/>
      <c r="P18"/>
      <c r="Q18"/>
      <c r="R18"/>
      <c r="S18"/>
      <c r="T18"/>
      <c r="U18"/>
      <c r="V18" s="127"/>
      <c r="W18" s="128"/>
      <c r="X18"/>
      <c r="Y18" s="128"/>
      <c r="Z18" s="128"/>
      <c r="AA18" s="133"/>
      <c r="AB18" s="133"/>
      <c r="AC18" s="133"/>
      <c r="AD18" s="133"/>
      <c r="AE18" s="132"/>
      <c r="AF18" s="132"/>
      <c r="AG18" s="133"/>
      <c r="AH18" s="134"/>
      <c r="AI18"/>
      <c r="AJ18"/>
      <c r="AK18"/>
      <c r="AL18" s="133"/>
      <c r="AM18"/>
      <c r="AN18" s="133"/>
      <c r="AO18"/>
      <c r="AP18"/>
      <c r="AQ18" s="133"/>
    </row>
    <row r="19" spans="1:43" ht="17.45" customHeight="1" thickTop="1" thickBot="1" x14ac:dyDescent="0.35">
      <c r="A19" s="212" t="s">
        <v>217</v>
      </c>
      <c r="B19" s="212"/>
      <c r="C19" s="212"/>
      <c r="D19" s="212"/>
      <c r="E19" s="212"/>
      <c r="F19" s="212"/>
      <c r="G19" s="136" t="s">
        <v>218</v>
      </c>
      <c r="H19" s="212" t="s">
        <v>219</v>
      </c>
      <c r="I19" s="212"/>
      <c r="J19" s="212"/>
      <c r="K19" s="212"/>
      <c r="L19" s="212"/>
      <c r="M19" s="212"/>
      <c r="N19" s="212"/>
      <c r="O19" s="137"/>
      <c r="P19" s="213" t="s">
        <v>220</v>
      </c>
      <c r="Q19" s="213"/>
      <c r="R19" s="213"/>
      <c r="S19" s="212" t="s">
        <v>221</v>
      </c>
      <c r="T19" s="212"/>
      <c r="U19" s="212"/>
      <c r="V19" s="212"/>
      <c r="W19" s="213">
        <v>1</v>
      </c>
      <c r="X19" s="213"/>
      <c r="Y19" s="213"/>
      <c r="Z19" s="213"/>
      <c r="AA19" s="135"/>
      <c r="AB19" s="135"/>
      <c r="AC19" s="135"/>
      <c r="AD19" s="135"/>
      <c r="AE19" s="135"/>
      <c r="AF19" s="135"/>
      <c r="AG19" s="135"/>
      <c r="AH19" s="135"/>
      <c r="AI19" s="135"/>
      <c r="AJ19" s="135"/>
      <c r="AK19" s="135"/>
      <c r="AL19" s="135"/>
      <c r="AM19" s="135"/>
      <c r="AN19" s="135"/>
      <c r="AO19" s="135"/>
      <c r="AP19" s="135"/>
      <c r="AQ19" s="135"/>
    </row>
    <row r="20" spans="1:43" ht="17.25" thickTop="1" x14ac:dyDescent="0.3"/>
  </sheetData>
  <dataConsolidate/>
  <mergeCells count="67">
    <mergeCell ref="S8:AB8"/>
    <mergeCell ref="T9:T10"/>
    <mergeCell ref="AP9:AP10"/>
    <mergeCell ref="AT1:AU1"/>
    <mergeCell ref="AT2:AU2"/>
    <mergeCell ref="AT3:AU3"/>
    <mergeCell ref="AT4:AU4"/>
    <mergeCell ref="AG9:AG10"/>
    <mergeCell ref="AC9:AC10"/>
    <mergeCell ref="U9:U10"/>
    <mergeCell ref="AU9:AU10"/>
    <mergeCell ref="AS9:AS10"/>
    <mergeCell ref="AT9:AT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J8:AU8"/>
    <mergeCell ref="AR9:AR10"/>
    <mergeCell ref="D14:AO14"/>
    <mergeCell ref="A17:G17"/>
    <mergeCell ref="G9:G10"/>
    <mergeCell ref="F9:F10"/>
    <mergeCell ref="E9:E10"/>
    <mergeCell ref="D9:D10"/>
    <mergeCell ref="R9:R10"/>
    <mergeCell ref="N9:N10"/>
    <mergeCell ref="O9:O10"/>
    <mergeCell ref="AO9:AO10"/>
    <mergeCell ref="AN9:AN10"/>
    <mergeCell ref="AM9:AM10"/>
    <mergeCell ref="AL9:AL10"/>
    <mergeCell ref="AK9:AK10"/>
    <mergeCell ref="C9:C10"/>
    <mergeCell ref="S9:S10"/>
    <mergeCell ref="S19:V19"/>
    <mergeCell ref="W19:Z19"/>
    <mergeCell ref="A19:F19"/>
    <mergeCell ref="K17:N17"/>
    <mergeCell ref="H19:N19"/>
    <mergeCell ref="P19:R19"/>
    <mergeCell ref="B9:B10"/>
    <mergeCell ref="V9:V10"/>
    <mergeCell ref="AQ9:AQ10"/>
    <mergeCell ref="A5:B5"/>
    <mergeCell ref="A6:B6"/>
    <mergeCell ref="A7:B7"/>
    <mergeCell ref="A8:K8"/>
    <mergeCell ref="L8:R8"/>
    <mergeCell ref="AJ9:AJ10"/>
    <mergeCell ref="C7:AU7"/>
    <mergeCell ref="C6:AU6"/>
    <mergeCell ref="C5:AU5"/>
    <mergeCell ref="I9:I10"/>
    <mergeCell ref="J9:J10"/>
    <mergeCell ref="AI9:AI10"/>
    <mergeCell ref="AH9:AH10"/>
  </mergeCells>
  <conditionalFormatting sqref="AE16:AE18">
    <cfRule type="cellIs" dxfId="56" priority="48" stopIfTrue="1" operator="equal">
      <formula>#REF!</formula>
    </cfRule>
    <cfRule type="cellIs" dxfId="55" priority="49" operator="equal">
      <formula>#REF!</formula>
    </cfRule>
    <cfRule type="cellIs" dxfId="54" priority="50" operator="equal">
      <formula>#REF!</formula>
    </cfRule>
  </conditionalFormatting>
  <conditionalFormatting sqref="AF16:AF18">
    <cfRule type="cellIs" dxfId="53" priority="51" stopIfTrue="1" operator="equal">
      <formula>#REF!</formula>
    </cfRule>
    <cfRule type="cellIs" dxfId="52" priority="52" stopIfTrue="1" operator="equal">
      <formula>#REF!</formula>
    </cfRule>
    <cfRule type="cellIs" dxfId="51" priority="53" stopIfTrue="1" operator="equal">
      <formula>#REF!</formula>
    </cfRule>
  </conditionalFormatting>
  <conditionalFormatting sqref="L12:L13">
    <cfRule type="cellIs" dxfId="50" priority="43" operator="equal">
      <formula>"Muy Alta"</formula>
    </cfRule>
    <cfRule type="cellIs" dxfId="49" priority="44" operator="equal">
      <formula>"Alta"</formula>
    </cfRule>
    <cfRule type="cellIs" dxfId="48" priority="45" operator="equal">
      <formula>"Media"</formula>
    </cfRule>
    <cfRule type="cellIs" dxfId="47" priority="46" operator="equal">
      <formula>"Baja"</formula>
    </cfRule>
    <cfRule type="cellIs" dxfId="46" priority="47" operator="equal">
      <formula>"Muy Baja"</formula>
    </cfRule>
  </conditionalFormatting>
  <conditionalFormatting sqref="P12:P13">
    <cfRule type="cellIs" dxfId="45" priority="38" operator="equal">
      <formula>"Catastrófico"</formula>
    </cfRule>
    <cfRule type="cellIs" dxfId="44" priority="39" operator="equal">
      <formula>"Mayor"</formula>
    </cfRule>
    <cfRule type="cellIs" dxfId="43" priority="40" operator="equal">
      <formula>"Moderado"</formula>
    </cfRule>
    <cfRule type="cellIs" dxfId="42" priority="41" operator="equal">
      <formula>"Menor"</formula>
    </cfRule>
    <cfRule type="cellIs" dxfId="41" priority="42" operator="equal">
      <formula>"Leve"</formula>
    </cfRule>
  </conditionalFormatting>
  <conditionalFormatting sqref="R12">
    <cfRule type="cellIs" dxfId="40" priority="34" operator="equal">
      <formula>"Extremo"</formula>
    </cfRule>
    <cfRule type="cellIs" dxfId="39" priority="35" operator="equal">
      <formula>"Alto"</formula>
    </cfRule>
    <cfRule type="cellIs" dxfId="38" priority="36" operator="equal">
      <formula>"Moderado"</formula>
    </cfRule>
    <cfRule type="cellIs" dxfId="37" priority="37" operator="equal">
      <formula>"Bajo"</formula>
    </cfRule>
  </conditionalFormatting>
  <conditionalFormatting sqref="AD12">
    <cfRule type="cellIs" dxfId="36" priority="29" operator="equal">
      <formula>"Muy Alta"</formula>
    </cfRule>
    <cfRule type="cellIs" dxfId="35" priority="30" operator="equal">
      <formula>"Alta"</formula>
    </cfRule>
    <cfRule type="cellIs" dxfId="34" priority="31" operator="equal">
      <formula>"Media"</formula>
    </cfRule>
    <cfRule type="cellIs" dxfId="33" priority="32" operator="equal">
      <formula>"Baja"</formula>
    </cfRule>
    <cfRule type="cellIs" dxfId="32" priority="33" operator="equal">
      <formula>"Muy Baja"</formula>
    </cfRule>
  </conditionalFormatting>
  <conditionalFormatting sqref="AF12">
    <cfRule type="cellIs" dxfId="31" priority="24" operator="equal">
      <formula>"Catastrófico"</formula>
    </cfRule>
    <cfRule type="cellIs" dxfId="30" priority="25" operator="equal">
      <formula>"Mayor"</formula>
    </cfRule>
    <cfRule type="cellIs" dxfId="29" priority="26" operator="equal">
      <formula>"Moderado"</formula>
    </cfRule>
    <cfRule type="cellIs" dxfId="28" priority="27" operator="equal">
      <formula>"Menor"</formula>
    </cfRule>
    <cfRule type="cellIs" dxfId="27" priority="28" operator="equal">
      <formula>"Leve"</formula>
    </cfRule>
  </conditionalFormatting>
  <conditionalFormatting sqref="AH12">
    <cfRule type="cellIs" dxfId="26" priority="20" operator="equal">
      <formula>"Extremo"</formula>
    </cfRule>
    <cfRule type="cellIs" dxfId="25" priority="21" operator="equal">
      <formula>"Alto"</formula>
    </cfRule>
    <cfRule type="cellIs" dxfId="24" priority="22" operator="equal">
      <formula>"Moderado"</formula>
    </cfRule>
    <cfRule type="cellIs" dxfId="23" priority="23" operator="equal">
      <formula>"Bajo"</formula>
    </cfRule>
  </conditionalFormatting>
  <conditionalFormatting sqref="R13">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AD1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F1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H1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O12:O13">
    <cfRule type="containsText" dxfId="4" priority="1" operator="containsText" text="❌">
      <formula>NOT(ISERROR(SEARCH("❌",O12)))</formula>
    </cfRule>
  </conditionalFormatting>
  <dataValidations count="6">
    <dataValidation type="list" allowBlank="1" showInputMessage="1" showErrorMessage="1" sqref="G16" xr:uid="{00000000-0002-0000-0100-000000000000}">
      <formula1>$G$173:$G$182</formula1>
    </dataValidation>
    <dataValidation type="list" allowBlank="1" showInputMessage="1" showErrorMessage="1" sqref="G18 AE18:AF18" xr:uid="{00000000-0002-0000-0100-000001000000}">
      <formula1>#REF!</formula1>
    </dataValidation>
    <dataValidation type="list" allowBlank="1" showInputMessage="1" showErrorMessage="1" sqref="V18" xr:uid="{00000000-0002-0000-0100-000002000000}">
      <formula1>$N$173:$N$174</formula1>
    </dataValidation>
    <dataValidation type="list" allowBlank="1" showInputMessage="1" showErrorMessage="1" sqref="K18" xr:uid="{00000000-0002-0000-0100-000003000000}">
      <formula1>$K$173:$K$177</formula1>
    </dataValidation>
    <dataValidation type="list" allowBlank="1" showInputMessage="1" showErrorMessage="1" sqref="H18:J18" xr:uid="{00000000-0002-0000-0100-000004000000}">
      <formula1>$H$173:$H$177</formula1>
    </dataValidation>
    <dataValidation type="list" allowBlank="1" showInputMessage="1" showErrorMessage="1" sqref="AN18 AL18 W18 Y18:AD18 AQ18" xr:uid="{00000000-0002-0000-0100-000005000000}">
      <formula1>$AL$173:$AL$180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6000000}">
          <x14:formula1>
            <xm:f>'Opciones Tratamiento'!$B$9:$B$10</xm:f>
          </x14:formula1>
          <xm:sqref>AU12:AU13 AR12:AR13 AO12:AO13</xm:sqref>
        </x14:dataValidation>
        <x14:dataValidation type="custom" allowBlank="1" showInputMessage="1" showErrorMessage="1" error="Recuerde que las acciones se generan bajo la medida de mitigar el riesgo" xr:uid="{00000000-0002-0000-0100-000007000000}">
          <x14:formula1>
            <xm:f>IF(OR(AI12='Opciones Tratamiento'!$B$2,AI12='Opciones Tratamiento'!$B$3,AI12='Opciones Tratamiento'!$B$4),ISBLANK(AI12),ISTEXT(AI12))</xm:f>
          </x14:formula1>
          <xm:sqref>AM12:AM13 AS12:AS13</xm:sqref>
        </x14:dataValidation>
        <x14:dataValidation type="custom" allowBlank="1" showInputMessage="1" showErrorMessage="1" error="Recuerde que las acciones se generan bajo la medida de mitigar el riesgo" xr:uid="{00000000-0002-0000-0100-000008000000}">
          <x14:formula1>
            <xm:f>IF(OR(AI12='Opciones Tratamiento'!$B$2,AI12='Opciones Tratamiento'!$B$3,AI12='Opciones Tratamiento'!$B$4),ISBLANK(AI12),ISTEXT(AI12))</xm:f>
          </x14:formula1>
          <xm:sqref>AN12:AN13 AT12:AT13 AP12:AP13</xm:sqref>
        </x14:dataValidation>
        <x14:dataValidation type="list" allowBlank="1" showInputMessage="1" showErrorMessage="1" xr:uid="{00000000-0002-0000-0100-000009000000}">
          <x14:formula1>
            <xm:f>Listas!$A$2:$A$9</xm:f>
          </x14:formula1>
          <xm:sqref>B12:B13</xm:sqref>
        </x14:dataValidation>
        <x14:dataValidation type="list" allowBlank="1" showInputMessage="1" showErrorMessage="1" xr:uid="{00000000-0002-0000-0100-00000A000000}">
          <x14:formula1>
            <xm:f>Listas!$B$2:$B$7</xm:f>
          </x14:formula1>
          <xm:sqref>C12:C13</xm:sqref>
        </x14:dataValidation>
        <x14:dataValidation type="list" allowBlank="1" showInputMessage="1" showErrorMessage="1" xr:uid="{00000000-0002-0000-0100-00000B000000}">
          <x14:formula1>
            <xm:f>Listas!$C$2:$C$6</xm:f>
          </x14:formula1>
          <xm:sqref>I12:I13</xm:sqref>
        </x14:dataValidation>
        <x14:dataValidation type="list" allowBlank="1" showInputMessage="1" showErrorMessage="1" xr:uid="{00000000-0002-0000-0100-00000C000000}">
          <x14:formula1>
            <xm:f>Listas!$D$2:$D$5</xm:f>
          </x14:formula1>
          <xm:sqref>J12:J13</xm:sqref>
        </x14:dataValidation>
        <x14:dataValidation type="custom" allowBlank="1" showInputMessage="1" showErrorMessage="1" error="Recuerde que las acciones se generan bajo la medida de mitigar el riesgo" xr:uid="{00000000-0002-0000-0100-00000D000000}">
          <x14:formula1>
            <xm:f>IF(OR(AN12='Opciones Tratamiento'!$B$2,AN12='Opciones Tratamiento'!$B$3,AN12='Opciones Tratamiento'!$B$4),ISBLANK(AN12),ISTEXT(AN12))</xm:f>
          </x14:formula1>
          <xm:sqref>AQ12:AQ13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19" t="s">
        <v>158</v>
      </c>
      <c r="C2" s="319"/>
      <c r="D2" s="319"/>
      <c r="E2" s="319"/>
      <c r="F2" s="319"/>
      <c r="G2" s="319"/>
      <c r="H2" s="319"/>
      <c r="I2" s="319"/>
      <c r="J2" s="287" t="s">
        <v>2</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19"/>
      <c r="C3" s="319"/>
      <c r="D3" s="319"/>
      <c r="E3" s="319"/>
      <c r="F3" s="319"/>
      <c r="G3" s="319"/>
      <c r="H3" s="319"/>
      <c r="I3" s="319"/>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19"/>
      <c r="C4" s="319"/>
      <c r="D4" s="319"/>
      <c r="E4" s="319"/>
      <c r="F4" s="319"/>
      <c r="G4" s="319"/>
      <c r="H4" s="319"/>
      <c r="I4" s="319"/>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34" t="s">
        <v>4</v>
      </c>
      <c r="C6" s="234"/>
      <c r="D6" s="235"/>
      <c r="E6" s="272" t="s">
        <v>115</v>
      </c>
      <c r="F6" s="273"/>
      <c r="G6" s="273"/>
      <c r="H6" s="273"/>
      <c r="I6" s="274"/>
      <c r="J6" s="283" t="e">
        <f>IF(AND('Mapa final'!#REF!="Muy Alta",'Mapa final'!#REF!="Leve"),CONCATENATE("R",'Mapa final'!#REF!),"")</f>
        <v>#REF!</v>
      </c>
      <c r="K6" s="284"/>
      <c r="L6" s="284" t="str">
        <f>IF(AND('Mapa final'!$L$12="Muy Alta",'Mapa final'!$P$12="Leve"),CONCATENATE("R",'Mapa final'!$A$12),"")</f>
        <v/>
      </c>
      <c r="M6" s="284"/>
      <c r="N6" s="284" t="e">
        <f>IF(AND('Mapa final'!#REF!="Muy Alta",'Mapa final'!#REF!="Leve"),CONCATENATE("R",'Mapa final'!#REF!),"")</f>
        <v>#REF!</v>
      </c>
      <c r="O6" s="286"/>
      <c r="P6" s="283" t="e">
        <f>IF(AND('Mapa final'!#REF!="Muy Alta",'Mapa final'!#REF!="Menor"),CONCATENATE("R",'Mapa final'!#REF!),"")</f>
        <v>#REF!</v>
      </c>
      <c r="Q6" s="284"/>
      <c r="R6" s="284" t="str">
        <f>IF(AND('Mapa final'!$L$12="Muy Alta",'Mapa final'!$P$12="Menor"),CONCATENATE("R",'Mapa final'!$A$12),"")</f>
        <v/>
      </c>
      <c r="S6" s="284"/>
      <c r="T6" s="284" t="e">
        <f>IF(AND('Mapa final'!#REF!="Muy Alta",'Mapa final'!#REF!="Menor"),CONCATENATE("R",'Mapa final'!#REF!),"")</f>
        <v>#REF!</v>
      </c>
      <c r="U6" s="286"/>
      <c r="V6" s="283" t="e">
        <f>IF(AND('Mapa final'!#REF!="Muy Alta",'Mapa final'!#REF!="Moderado"),CONCATENATE("R",'Mapa final'!#REF!),"")</f>
        <v>#REF!</v>
      </c>
      <c r="W6" s="284"/>
      <c r="X6" s="284" t="str">
        <f>IF(AND('Mapa final'!$L$12="Muy Alta",'Mapa final'!$P$12="Moderado"),CONCATENATE("R",'Mapa final'!$A$12),"")</f>
        <v/>
      </c>
      <c r="Y6" s="284"/>
      <c r="Z6" s="284" t="e">
        <f>IF(AND('Mapa final'!#REF!="Muy Alta",'Mapa final'!#REF!="Moderado"),CONCATENATE("R",'Mapa final'!#REF!),"")</f>
        <v>#REF!</v>
      </c>
      <c r="AA6" s="286"/>
      <c r="AB6" s="283" t="e">
        <f>IF(AND('Mapa final'!#REF!="Muy Alta",'Mapa final'!#REF!="Mayor"),CONCATENATE("R",'Mapa final'!#REF!),"")</f>
        <v>#REF!</v>
      </c>
      <c r="AC6" s="284"/>
      <c r="AD6" s="284" t="str">
        <f>IF(AND('Mapa final'!$L$12="Muy Alta",'Mapa final'!$P$12="Mayor"),CONCATENATE("R",'Mapa final'!$A$12),"")</f>
        <v/>
      </c>
      <c r="AE6" s="284"/>
      <c r="AF6" s="284" t="e">
        <f>IF(AND('Mapa final'!#REF!="Muy Alta",'Mapa final'!#REF!="Mayor"),CONCATENATE("R",'Mapa final'!#REF!),"")</f>
        <v>#REF!</v>
      </c>
      <c r="AG6" s="286"/>
      <c r="AH6" s="298" t="e">
        <f>IF(AND('Mapa final'!#REF!="Muy Alta",'Mapa final'!#REF!="Catastrófico"),CONCATENATE("R",'Mapa final'!#REF!),"")</f>
        <v>#REF!</v>
      </c>
      <c r="AI6" s="299"/>
      <c r="AJ6" s="299" t="str">
        <f>IF(AND('Mapa final'!$L$12="Muy Alta",'Mapa final'!$P$12="Catastrófico"),CONCATENATE("R",'Mapa final'!$A$12),"")</f>
        <v/>
      </c>
      <c r="AK6" s="299"/>
      <c r="AL6" s="299" t="e">
        <f>IF(AND('Mapa final'!#REF!="Muy Alta",'Mapa final'!#REF!="Catastrófico"),CONCATENATE("R",'Mapa final'!#REF!),"")</f>
        <v>#REF!</v>
      </c>
      <c r="AM6" s="300"/>
      <c r="AO6" s="236" t="s">
        <v>78</v>
      </c>
      <c r="AP6" s="237"/>
      <c r="AQ6" s="237"/>
      <c r="AR6" s="237"/>
      <c r="AS6" s="237"/>
      <c r="AT6" s="23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34"/>
      <c r="C7" s="234"/>
      <c r="D7" s="235"/>
      <c r="E7" s="275"/>
      <c r="F7" s="276"/>
      <c r="G7" s="276"/>
      <c r="H7" s="276"/>
      <c r="I7" s="277"/>
      <c r="J7" s="285"/>
      <c r="K7" s="281"/>
      <c r="L7" s="281"/>
      <c r="M7" s="281"/>
      <c r="N7" s="281"/>
      <c r="O7" s="282"/>
      <c r="P7" s="285"/>
      <c r="Q7" s="281"/>
      <c r="R7" s="281"/>
      <c r="S7" s="281"/>
      <c r="T7" s="281"/>
      <c r="U7" s="282"/>
      <c r="V7" s="285"/>
      <c r="W7" s="281"/>
      <c r="X7" s="281"/>
      <c r="Y7" s="281"/>
      <c r="Z7" s="281"/>
      <c r="AA7" s="282"/>
      <c r="AB7" s="285"/>
      <c r="AC7" s="281"/>
      <c r="AD7" s="281"/>
      <c r="AE7" s="281"/>
      <c r="AF7" s="281"/>
      <c r="AG7" s="282"/>
      <c r="AH7" s="292"/>
      <c r="AI7" s="293"/>
      <c r="AJ7" s="293"/>
      <c r="AK7" s="293"/>
      <c r="AL7" s="293"/>
      <c r="AM7" s="294"/>
      <c r="AN7" s="75"/>
      <c r="AO7" s="239"/>
      <c r="AP7" s="240"/>
      <c r="AQ7" s="240"/>
      <c r="AR7" s="240"/>
      <c r="AS7" s="240"/>
      <c r="AT7" s="24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34"/>
      <c r="C8" s="234"/>
      <c r="D8" s="235"/>
      <c r="E8" s="275"/>
      <c r="F8" s="276"/>
      <c r="G8" s="276"/>
      <c r="H8" s="276"/>
      <c r="I8" s="277"/>
      <c r="J8" s="285" t="e">
        <f>IF(AND('Mapa final'!#REF!="Muy Alta",'Mapa final'!#REF!="Leve"),CONCATENATE("R",'Mapa final'!#REF!),"")</f>
        <v>#REF!</v>
      </c>
      <c r="K8" s="281"/>
      <c r="L8" s="281" t="e">
        <f>IF(AND('Mapa final'!#REF!="Muy Alta",'Mapa final'!#REF!="Leve"),CONCATENATE("R",'Mapa final'!#REF!),"")</f>
        <v>#REF!</v>
      </c>
      <c r="M8" s="281"/>
      <c r="N8" s="281" t="e">
        <f>IF(AND('Mapa final'!#REF!="Muy Alta",'Mapa final'!#REF!="Leve"),CONCATENATE("R",'Mapa final'!#REF!),"")</f>
        <v>#REF!</v>
      </c>
      <c r="O8" s="282"/>
      <c r="P8" s="285" t="e">
        <f>IF(AND('Mapa final'!#REF!="Muy Alta",'Mapa final'!#REF!="Menor"),CONCATENATE("R",'Mapa final'!#REF!),"")</f>
        <v>#REF!</v>
      </c>
      <c r="Q8" s="281"/>
      <c r="R8" s="281" t="e">
        <f>IF(AND('Mapa final'!#REF!="Muy Alta",'Mapa final'!#REF!="Menor"),CONCATENATE("R",'Mapa final'!#REF!),"")</f>
        <v>#REF!</v>
      </c>
      <c r="S8" s="281"/>
      <c r="T8" s="281" t="e">
        <f>IF(AND('Mapa final'!#REF!="Muy Alta",'Mapa final'!#REF!="Menor"),CONCATENATE("R",'Mapa final'!#REF!),"")</f>
        <v>#REF!</v>
      </c>
      <c r="U8" s="282"/>
      <c r="V8" s="285" t="e">
        <f>IF(AND('Mapa final'!#REF!="Muy Alta",'Mapa final'!#REF!="Moderado"),CONCATENATE("R",'Mapa final'!#REF!),"")</f>
        <v>#REF!</v>
      </c>
      <c r="W8" s="281"/>
      <c r="X8" s="281" t="e">
        <f>IF(AND('Mapa final'!#REF!="Muy Alta",'Mapa final'!#REF!="Moderado"),CONCATENATE("R",'Mapa final'!#REF!),"")</f>
        <v>#REF!</v>
      </c>
      <c r="Y8" s="281"/>
      <c r="Z8" s="281" t="e">
        <f>IF(AND('Mapa final'!#REF!="Muy Alta",'Mapa final'!#REF!="Moderado"),CONCATENATE("R",'Mapa final'!#REF!),"")</f>
        <v>#REF!</v>
      </c>
      <c r="AA8" s="282"/>
      <c r="AB8" s="285" t="e">
        <f>IF(AND('Mapa final'!#REF!="Muy Alta",'Mapa final'!#REF!="Mayor"),CONCATENATE("R",'Mapa final'!#REF!),"")</f>
        <v>#REF!</v>
      </c>
      <c r="AC8" s="281"/>
      <c r="AD8" s="281" t="e">
        <f>IF(AND('Mapa final'!#REF!="Muy Alta",'Mapa final'!#REF!="Mayor"),CONCATENATE("R",'Mapa final'!#REF!),"")</f>
        <v>#REF!</v>
      </c>
      <c r="AE8" s="281"/>
      <c r="AF8" s="281" t="e">
        <f>IF(AND('Mapa final'!#REF!="Muy Alta",'Mapa final'!#REF!="Mayor"),CONCATENATE("R",'Mapa final'!#REF!),"")</f>
        <v>#REF!</v>
      </c>
      <c r="AG8" s="282"/>
      <c r="AH8" s="292" t="e">
        <f>IF(AND('Mapa final'!#REF!="Muy Alta",'Mapa final'!#REF!="Catastrófico"),CONCATENATE("R",'Mapa final'!#REF!),"")</f>
        <v>#REF!</v>
      </c>
      <c r="AI8" s="293"/>
      <c r="AJ8" s="293" t="e">
        <f>IF(AND('Mapa final'!#REF!="Muy Alta",'Mapa final'!#REF!="Catastrófico"),CONCATENATE("R",'Mapa final'!#REF!),"")</f>
        <v>#REF!</v>
      </c>
      <c r="AK8" s="293"/>
      <c r="AL8" s="293" t="e">
        <f>IF(AND('Mapa final'!#REF!="Muy Alta",'Mapa final'!#REF!="Catastrófico"),CONCATENATE("R",'Mapa final'!#REF!),"")</f>
        <v>#REF!</v>
      </c>
      <c r="AM8" s="294"/>
      <c r="AN8" s="75"/>
      <c r="AO8" s="239"/>
      <c r="AP8" s="240"/>
      <c r="AQ8" s="240"/>
      <c r="AR8" s="240"/>
      <c r="AS8" s="240"/>
      <c r="AT8" s="24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34"/>
      <c r="C9" s="234"/>
      <c r="D9" s="235"/>
      <c r="E9" s="275"/>
      <c r="F9" s="276"/>
      <c r="G9" s="276"/>
      <c r="H9" s="276"/>
      <c r="I9" s="277"/>
      <c r="J9" s="285"/>
      <c r="K9" s="281"/>
      <c r="L9" s="281"/>
      <c r="M9" s="281"/>
      <c r="N9" s="281"/>
      <c r="O9" s="282"/>
      <c r="P9" s="285"/>
      <c r="Q9" s="281"/>
      <c r="R9" s="281"/>
      <c r="S9" s="281"/>
      <c r="T9" s="281"/>
      <c r="U9" s="282"/>
      <c r="V9" s="285"/>
      <c r="W9" s="281"/>
      <c r="X9" s="281"/>
      <c r="Y9" s="281"/>
      <c r="Z9" s="281"/>
      <c r="AA9" s="282"/>
      <c r="AB9" s="285"/>
      <c r="AC9" s="281"/>
      <c r="AD9" s="281"/>
      <c r="AE9" s="281"/>
      <c r="AF9" s="281"/>
      <c r="AG9" s="282"/>
      <c r="AH9" s="292"/>
      <c r="AI9" s="293"/>
      <c r="AJ9" s="293"/>
      <c r="AK9" s="293"/>
      <c r="AL9" s="293"/>
      <c r="AM9" s="294"/>
      <c r="AN9" s="75"/>
      <c r="AO9" s="239"/>
      <c r="AP9" s="240"/>
      <c r="AQ9" s="240"/>
      <c r="AR9" s="240"/>
      <c r="AS9" s="240"/>
      <c r="AT9" s="24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34"/>
      <c r="C10" s="234"/>
      <c r="D10" s="235"/>
      <c r="E10" s="275"/>
      <c r="F10" s="276"/>
      <c r="G10" s="276"/>
      <c r="H10" s="276"/>
      <c r="I10" s="277"/>
      <c r="J10" s="285" t="e">
        <f>IF(AND('Mapa final'!#REF!="Muy Alta",'Mapa final'!#REF!="Leve"),CONCATENATE("R",'Mapa final'!#REF!),"")</f>
        <v>#REF!</v>
      </c>
      <c r="K10" s="281"/>
      <c r="L10" s="281" t="e">
        <f>IF(AND('Mapa final'!#REF!="Muy Alta",'Mapa final'!#REF!="Leve"),CONCATENATE("R",'Mapa final'!#REF!),"")</f>
        <v>#REF!</v>
      </c>
      <c r="M10" s="281"/>
      <c r="N10" s="281" t="e">
        <f>IF(AND('Mapa final'!#REF!="Muy Alta",'Mapa final'!#REF!="Leve"),CONCATENATE("R",'Mapa final'!#REF!),"")</f>
        <v>#REF!</v>
      </c>
      <c r="O10" s="282"/>
      <c r="P10" s="285" t="e">
        <f>IF(AND('Mapa final'!#REF!="Muy Alta",'Mapa final'!#REF!="Menor"),CONCATENATE("R",'Mapa final'!#REF!),"")</f>
        <v>#REF!</v>
      </c>
      <c r="Q10" s="281"/>
      <c r="R10" s="281" t="e">
        <f>IF(AND('Mapa final'!#REF!="Muy Alta",'Mapa final'!#REF!="Menor"),CONCATENATE("R",'Mapa final'!#REF!),"")</f>
        <v>#REF!</v>
      </c>
      <c r="S10" s="281"/>
      <c r="T10" s="281" t="e">
        <f>IF(AND('Mapa final'!#REF!="Muy Alta",'Mapa final'!#REF!="Menor"),CONCATENATE("R",'Mapa final'!#REF!),"")</f>
        <v>#REF!</v>
      </c>
      <c r="U10" s="282"/>
      <c r="V10" s="285" t="e">
        <f>IF(AND('Mapa final'!#REF!="Muy Alta",'Mapa final'!#REF!="Moderado"),CONCATENATE("R",'Mapa final'!#REF!),"")</f>
        <v>#REF!</v>
      </c>
      <c r="W10" s="281"/>
      <c r="X10" s="281" t="e">
        <f>IF(AND('Mapa final'!#REF!="Muy Alta",'Mapa final'!#REF!="Moderado"),CONCATENATE("R",'Mapa final'!#REF!),"")</f>
        <v>#REF!</v>
      </c>
      <c r="Y10" s="281"/>
      <c r="Z10" s="281" t="e">
        <f>IF(AND('Mapa final'!#REF!="Muy Alta",'Mapa final'!#REF!="Moderado"),CONCATENATE("R",'Mapa final'!#REF!),"")</f>
        <v>#REF!</v>
      </c>
      <c r="AA10" s="282"/>
      <c r="AB10" s="285" t="e">
        <f>IF(AND('Mapa final'!#REF!="Muy Alta",'Mapa final'!#REF!="Mayor"),CONCATENATE("R",'Mapa final'!#REF!),"")</f>
        <v>#REF!</v>
      </c>
      <c r="AC10" s="281"/>
      <c r="AD10" s="281" t="e">
        <f>IF(AND('Mapa final'!#REF!="Muy Alta",'Mapa final'!#REF!="Mayor"),CONCATENATE("R",'Mapa final'!#REF!),"")</f>
        <v>#REF!</v>
      </c>
      <c r="AE10" s="281"/>
      <c r="AF10" s="281" t="e">
        <f>IF(AND('Mapa final'!#REF!="Muy Alta",'Mapa final'!#REF!="Mayor"),CONCATENATE("R",'Mapa final'!#REF!),"")</f>
        <v>#REF!</v>
      </c>
      <c r="AG10" s="282"/>
      <c r="AH10" s="292" t="e">
        <f>IF(AND('Mapa final'!#REF!="Muy Alta",'Mapa final'!#REF!="Catastrófico"),CONCATENATE("R",'Mapa final'!#REF!),"")</f>
        <v>#REF!</v>
      </c>
      <c r="AI10" s="293"/>
      <c r="AJ10" s="293" t="e">
        <f>IF(AND('Mapa final'!#REF!="Muy Alta",'Mapa final'!#REF!="Catastrófico"),CONCATENATE("R",'Mapa final'!#REF!),"")</f>
        <v>#REF!</v>
      </c>
      <c r="AK10" s="293"/>
      <c r="AL10" s="293" t="e">
        <f>IF(AND('Mapa final'!#REF!="Muy Alta",'Mapa final'!#REF!="Catastrófico"),CONCATENATE("R",'Mapa final'!#REF!),"")</f>
        <v>#REF!</v>
      </c>
      <c r="AM10" s="294"/>
      <c r="AN10" s="75"/>
      <c r="AO10" s="239"/>
      <c r="AP10" s="240"/>
      <c r="AQ10" s="240"/>
      <c r="AR10" s="240"/>
      <c r="AS10" s="240"/>
      <c r="AT10" s="24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34"/>
      <c r="C11" s="234"/>
      <c r="D11" s="235"/>
      <c r="E11" s="275"/>
      <c r="F11" s="276"/>
      <c r="G11" s="276"/>
      <c r="H11" s="276"/>
      <c r="I11" s="277"/>
      <c r="J11" s="285"/>
      <c r="K11" s="281"/>
      <c r="L11" s="281"/>
      <c r="M11" s="281"/>
      <c r="N11" s="281"/>
      <c r="O11" s="282"/>
      <c r="P11" s="285"/>
      <c r="Q11" s="281"/>
      <c r="R11" s="281"/>
      <c r="S11" s="281"/>
      <c r="T11" s="281"/>
      <c r="U11" s="282"/>
      <c r="V11" s="285"/>
      <c r="W11" s="281"/>
      <c r="X11" s="281"/>
      <c r="Y11" s="281"/>
      <c r="Z11" s="281"/>
      <c r="AA11" s="282"/>
      <c r="AB11" s="285"/>
      <c r="AC11" s="281"/>
      <c r="AD11" s="281"/>
      <c r="AE11" s="281"/>
      <c r="AF11" s="281"/>
      <c r="AG11" s="282"/>
      <c r="AH11" s="292"/>
      <c r="AI11" s="293"/>
      <c r="AJ11" s="293"/>
      <c r="AK11" s="293"/>
      <c r="AL11" s="293"/>
      <c r="AM11" s="294"/>
      <c r="AN11" s="75"/>
      <c r="AO11" s="239"/>
      <c r="AP11" s="240"/>
      <c r="AQ11" s="240"/>
      <c r="AR11" s="240"/>
      <c r="AS11" s="240"/>
      <c r="AT11" s="24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34"/>
      <c r="C12" s="234"/>
      <c r="D12" s="235"/>
      <c r="E12" s="275"/>
      <c r="F12" s="276"/>
      <c r="G12" s="276"/>
      <c r="H12" s="276"/>
      <c r="I12" s="277"/>
      <c r="J12" s="285" t="e">
        <f>IF(AND('Mapa final'!#REF!="Muy Alta",'Mapa final'!#REF!="Leve"),CONCATENATE("R",'Mapa final'!#REF!),"")</f>
        <v>#REF!</v>
      </c>
      <c r="K12" s="281"/>
      <c r="L12" s="281" t="str">
        <f>IF(AND('Mapa final'!$L$14="Muy Alta",'Mapa final'!$P$14="Leve"),CONCATENATE("R",'Mapa final'!$A$14),"")</f>
        <v/>
      </c>
      <c r="M12" s="281"/>
      <c r="N12" s="281" t="str">
        <f>IF(AND('Mapa final'!$L$16="Muy Alta",'Mapa final'!$P$16="Leve"),CONCATENATE("R",'Mapa final'!$A$16),"")</f>
        <v/>
      </c>
      <c r="O12" s="282"/>
      <c r="P12" s="285" t="e">
        <f>IF(AND('Mapa final'!#REF!="Muy Alta",'Mapa final'!#REF!="Menor"),CONCATENATE("R",'Mapa final'!#REF!),"")</f>
        <v>#REF!</v>
      </c>
      <c r="Q12" s="281"/>
      <c r="R12" s="281" t="str">
        <f>IF(AND('Mapa final'!$L$14="Muy Alta",'Mapa final'!$P$14="Menor"),CONCATENATE("R",'Mapa final'!$A$14),"")</f>
        <v/>
      </c>
      <c r="S12" s="281"/>
      <c r="T12" s="281" t="str">
        <f>IF(AND('Mapa final'!$L$16="Muy Alta",'Mapa final'!$P$16="Menor"),CONCATENATE("R",'Mapa final'!$A$16),"")</f>
        <v/>
      </c>
      <c r="U12" s="282"/>
      <c r="V12" s="285" t="e">
        <f>IF(AND('Mapa final'!#REF!="Muy Alta",'Mapa final'!#REF!="Moderado"),CONCATENATE("R",'Mapa final'!#REF!),"")</f>
        <v>#REF!</v>
      </c>
      <c r="W12" s="281"/>
      <c r="X12" s="281" t="str">
        <f>IF(AND('Mapa final'!$L$14="Muy Alta",'Mapa final'!$P$14="Moderado"),CONCATENATE("R",'Mapa final'!$A$14),"")</f>
        <v/>
      </c>
      <c r="Y12" s="281"/>
      <c r="Z12" s="281" t="str">
        <f>IF(AND('Mapa final'!$L$16="Muy Alta",'Mapa final'!$P$16="Moderado"),CONCATENATE("R",'Mapa final'!$A$16),"")</f>
        <v/>
      </c>
      <c r="AA12" s="282"/>
      <c r="AB12" s="285" t="e">
        <f>IF(AND('Mapa final'!#REF!="Muy Alta",'Mapa final'!#REF!="Mayor"),CONCATENATE("R",'Mapa final'!#REF!),"")</f>
        <v>#REF!</v>
      </c>
      <c r="AC12" s="281"/>
      <c r="AD12" s="281" t="str">
        <f>IF(AND('Mapa final'!$L$14="Muy Alta",'Mapa final'!$P$14="Mayor"),CONCATENATE("R",'Mapa final'!$A$14),"")</f>
        <v/>
      </c>
      <c r="AE12" s="281"/>
      <c r="AF12" s="281" t="str">
        <f>IF(AND('Mapa final'!$L$16="Muy Alta",'Mapa final'!$P$16="Mayor"),CONCATENATE("R",'Mapa final'!$A$16),"")</f>
        <v/>
      </c>
      <c r="AG12" s="282"/>
      <c r="AH12" s="292" t="e">
        <f>IF(AND('Mapa final'!#REF!="Muy Alta",'Mapa final'!#REF!="Catastrófico"),CONCATENATE("R",'Mapa final'!#REF!),"")</f>
        <v>#REF!</v>
      </c>
      <c r="AI12" s="293"/>
      <c r="AJ12" s="293" t="str">
        <f>IF(AND('Mapa final'!$L$14="Muy Alta",'Mapa final'!$P$14="Catastrófico"),CONCATENATE("R",'Mapa final'!$A$14),"")</f>
        <v/>
      </c>
      <c r="AK12" s="293"/>
      <c r="AL12" s="293" t="str">
        <f>IF(AND('Mapa final'!$L$16="Muy Alta",'Mapa final'!$P$16="Catastrófico"),CONCATENATE("R",'Mapa final'!$A$16),"")</f>
        <v/>
      </c>
      <c r="AM12" s="294"/>
      <c r="AN12" s="75"/>
      <c r="AO12" s="239"/>
      <c r="AP12" s="240"/>
      <c r="AQ12" s="240"/>
      <c r="AR12" s="240"/>
      <c r="AS12" s="240"/>
      <c r="AT12" s="24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34"/>
      <c r="C13" s="234"/>
      <c r="D13" s="235"/>
      <c r="E13" s="278"/>
      <c r="F13" s="279"/>
      <c r="G13" s="279"/>
      <c r="H13" s="279"/>
      <c r="I13" s="280"/>
      <c r="J13" s="285"/>
      <c r="K13" s="281"/>
      <c r="L13" s="281"/>
      <c r="M13" s="281"/>
      <c r="N13" s="281"/>
      <c r="O13" s="282"/>
      <c r="P13" s="285"/>
      <c r="Q13" s="281"/>
      <c r="R13" s="281"/>
      <c r="S13" s="281"/>
      <c r="T13" s="281"/>
      <c r="U13" s="282"/>
      <c r="V13" s="285"/>
      <c r="W13" s="281"/>
      <c r="X13" s="281"/>
      <c r="Y13" s="281"/>
      <c r="Z13" s="281"/>
      <c r="AA13" s="282"/>
      <c r="AB13" s="285"/>
      <c r="AC13" s="281"/>
      <c r="AD13" s="281"/>
      <c r="AE13" s="281"/>
      <c r="AF13" s="281"/>
      <c r="AG13" s="282"/>
      <c r="AH13" s="295"/>
      <c r="AI13" s="296"/>
      <c r="AJ13" s="296"/>
      <c r="AK13" s="296"/>
      <c r="AL13" s="296"/>
      <c r="AM13" s="297"/>
      <c r="AN13" s="75"/>
      <c r="AO13" s="242"/>
      <c r="AP13" s="243"/>
      <c r="AQ13" s="243"/>
      <c r="AR13" s="243"/>
      <c r="AS13" s="243"/>
      <c r="AT13" s="24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34"/>
      <c r="C14" s="234"/>
      <c r="D14" s="235"/>
      <c r="E14" s="272" t="s">
        <v>114</v>
      </c>
      <c r="F14" s="273"/>
      <c r="G14" s="273"/>
      <c r="H14" s="273"/>
      <c r="I14" s="273"/>
      <c r="J14" s="307" t="e">
        <f>IF(AND('Mapa final'!#REF!="Alta",'Mapa final'!#REF!="Leve"),CONCATENATE("R",'Mapa final'!#REF!),"")</f>
        <v>#REF!</v>
      </c>
      <c r="K14" s="308"/>
      <c r="L14" s="308" t="str">
        <f>IF(AND('Mapa final'!$L$12="Alta",'Mapa final'!$P$12="Leve"),CONCATENATE("R",'Mapa final'!$A$12),"")</f>
        <v/>
      </c>
      <c r="M14" s="308"/>
      <c r="N14" s="308" t="e">
        <f>IF(AND('Mapa final'!#REF!="Alta",'Mapa final'!#REF!="Leve"),CONCATENATE("R",'Mapa final'!#REF!),"")</f>
        <v>#REF!</v>
      </c>
      <c r="O14" s="309"/>
      <c r="P14" s="307" t="e">
        <f>IF(AND('Mapa final'!#REF!="Alta",'Mapa final'!#REF!="Menor"),CONCATENATE("R",'Mapa final'!#REF!),"")</f>
        <v>#REF!</v>
      </c>
      <c r="Q14" s="308"/>
      <c r="R14" s="308" t="str">
        <f>IF(AND('Mapa final'!$L$12="Alta",'Mapa final'!$P$12="Menor"),CONCATENATE("R",'Mapa final'!$A$12),"")</f>
        <v/>
      </c>
      <c r="S14" s="308"/>
      <c r="T14" s="308" t="e">
        <f>IF(AND('Mapa final'!#REF!="Alta",'Mapa final'!#REF!="Menor"),CONCATENATE("R",'Mapa final'!#REF!),"")</f>
        <v>#REF!</v>
      </c>
      <c r="U14" s="309"/>
      <c r="V14" s="283" t="e">
        <f>IF(AND('Mapa final'!#REF!="Alta",'Mapa final'!#REF!="Moderado"),CONCATENATE("R",'Mapa final'!#REF!),"")</f>
        <v>#REF!</v>
      </c>
      <c r="W14" s="284"/>
      <c r="X14" s="284" t="str">
        <f>IF(AND('Mapa final'!$L$12="Alta",'Mapa final'!$P$12="Moderado"),CONCATENATE("R",'Mapa final'!$A$12),"")</f>
        <v/>
      </c>
      <c r="Y14" s="284"/>
      <c r="Z14" s="284" t="e">
        <f>IF(AND('Mapa final'!#REF!="Alta",'Mapa final'!#REF!="Moderado"),CONCATENATE("R",'Mapa final'!#REF!),"")</f>
        <v>#REF!</v>
      </c>
      <c r="AA14" s="286"/>
      <c r="AB14" s="283" t="e">
        <f>IF(AND('Mapa final'!#REF!="Alta",'Mapa final'!#REF!="Mayor"),CONCATENATE("R",'Mapa final'!#REF!),"")</f>
        <v>#REF!</v>
      </c>
      <c r="AC14" s="284"/>
      <c r="AD14" s="284" t="str">
        <f>IF(AND('Mapa final'!$L$12="Alta",'Mapa final'!$P$12="Mayor"),CONCATENATE("R",'Mapa final'!$A$12),"")</f>
        <v/>
      </c>
      <c r="AE14" s="284"/>
      <c r="AF14" s="284" t="e">
        <f>IF(AND('Mapa final'!#REF!="Alta",'Mapa final'!#REF!="Mayor"),CONCATENATE("R",'Mapa final'!#REF!),"")</f>
        <v>#REF!</v>
      </c>
      <c r="AG14" s="286"/>
      <c r="AH14" s="298" t="e">
        <f>IF(AND('Mapa final'!#REF!="Alta",'Mapa final'!#REF!="Catastrófico"),CONCATENATE("R",'Mapa final'!#REF!),"")</f>
        <v>#REF!</v>
      </c>
      <c r="AI14" s="299"/>
      <c r="AJ14" s="299" t="str">
        <f>IF(AND('Mapa final'!$L$12="Alta",'Mapa final'!$P$12="Catastrófico"),CONCATENATE("R",'Mapa final'!$A$12),"")</f>
        <v/>
      </c>
      <c r="AK14" s="299"/>
      <c r="AL14" s="299" t="e">
        <f>IF(AND('Mapa final'!#REF!="Alta",'Mapa final'!#REF!="Catastrófico"),CONCATENATE("R",'Mapa final'!#REF!),"")</f>
        <v>#REF!</v>
      </c>
      <c r="AM14" s="300"/>
      <c r="AN14" s="75"/>
      <c r="AO14" s="245" t="s">
        <v>79</v>
      </c>
      <c r="AP14" s="246"/>
      <c r="AQ14" s="246"/>
      <c r="AR14" s="246"/>
      <c r="AS14" s="246"/>
      <c r="AT14" s="24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34"/>
      <c r="C15" s="234"/>
      <c r="D15" s="235"/>
      <c r="E15" s="275"/>
      <c r="F15" s="276"/>
      <c r="G15" s="276"/>
      <c r="H15" s="276"/>
      <c r="I15" s="276"/>
      <c r="J15" s="301"/>
      <c r="K15" s="302"/>
      <c r="L15" s="302"/>
      <c r="M15" s="302"/>
      <c r="N15" s="302"/>
      <c r="O15" s="303"/>
      <c r="P15" s="301"/>
      <c r="Q15" s="302"/>
      <c r="R15" s="302"/>
      <c r="S15" s="302"/>
      <c r="T15" s="302"/>
      <c r="U15" s="303"/>
      <c r="V15" s="285"/>
      <c r="W15" s="281"/>
      <c r="X15" s="281"/>
      <c r="Y15" s="281"/>
      <c r="Z15" s="281"/>
      <c r="AA15" s="282"/>
      <c r="AB15" s="285"/>
      <c r="AC15" s="281"/>
      <c r="AD15" s="281"/>
      <c r="AE15" s="281"/>
      <c r="AF15" s="281"/>
      <c r="AG15" s="282"/>
      <c r="AH15" s="292"/>
      <c r="AI15" s="293"/>
      <c r="AJ15" s="293"/>
      <c r="AK15" s="293"/>
      <c r="AL15" s="293"/>
      <c r="AM15" s="294"/>
      <c r="AN15" s="75"/>
      <c r="AO15" s="248"/>
      <c r="AP15" s="249"/>
      <c r="AQ15" s="249"/>
      <c r="AR15" s="249"/>
      <c r="AS15" s="249"/>
      <c r="AT15" s="25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34"/>
      <c r="C16" s="234"/>
      <c r="D16" s="235"/>
      <c r="E16" s="275"/>
      <c r="F16" s="276"/>
      <c r="G16" s="276"/>
      <c r="H16" s="276"/>
      <c r="I16" s="276"/>
      <c r="J16" s="301" t="e">
        <f>IF(AND('Mapa final'!#REF!="Alta",'Mapa final'!#REF!="Leve"),CONCATENATE("R",'Mapa final'!#REF!),"")</f>
        <v>#REF!</v>
      </c>
      <c r="K16" s="302"/>
      <c r="L16" s="302" t="e">
        <f>IF(AND('Mapa final'!#REF!="Alta",'Mapa final'!#REF!="Leve"),CONCATENATE("R",'Mapa final'!#REF!),"")</f>
        <v>#REF!</v>
      </c>
      <c r="M16" s="302"/>
      <c r="N16" s="302" t="e">
        <f>IF(AND('Mapa final'!#REF!="Alta",'Mapa final'!#REF!="Leve"),CONCATENATE("R",'Mapa final'!#REF!),"")</f>
        <v>#REF!</v>
      </c>
      <c r="O16" s="303"/>
      <c r="P16" s="301" t="e">
        <f>IF(AND('Mapa final'!#REF!="Alta",'Mapa final'!#REF!="Menor"),CONCATENATE("R",'Mapa final'!#REF!),"")</f>
        <v>#REF!</v>
      </c>
      <c r="Q16" s="302"/>
      <c r="R16" s="302" t="e">
        <f>IF(AND('Mapa final'!#REF!="Alta",'Mapa final'!#REF!="Menor"),CONCATENATE("R",'Mapa final'!#REF!),"")</f>
        <v>#REF!</v>
      </c>
      <c r="S16" s="302"/>
      <c r="T16" s="302" t="e">
        <f>IF(AND('Mapa final'!#REF!="Alta",'Mapa final'!#REF!="Menor"),CONCATENATE("R",'Mapa final'!#REF!),"")</f>
        <v>#REF!</v>
      </c>
      <c r="U16" s="303"/>
      <c r="V16" s="285" t="e">
        <f>IF(AND('Mapa final'!#REF!="Alta",'Mapa final'!#REF!="Moderado"),CONCATENATE("R",'Mapa final'!#REF!),"")</f>
        <v>#REF!</v>
      </c>
      <c r="W16" s="281"/>
      <c r="X16" s="281" t="e">
        <f>IF(AND('Mapa final'!#REF!="Alta",'Mapa final'!#REF!="Moderado"),CONCATENATE("R",'Mapa final'!#REF!),"")</f>
        <v>#REF!</v>
      </c>
      <c r="Y16" s="281"/>
      <c r="Z16" s="281" t="e">
        <f>IF(AND('Mapa final'!#REF!="Alta",'Mapa final'!#REF!="Moderado"),CONCATENATE("R",'Mapa final'!#REF!),"")</f>
        <v>#REF!</v>
      </c>
      <c r="AA16" s="282"/>
      <c r="AB16" s="285" t="e">
        <f>IF(AND('Mapa final'!#REF!="Alta",'Mapa final'!#REF!="Mayor"),CONCATENATE("R",'Mapa final'!#REF!),"")</f>
        <v>#REF!</v>
      </c>
      <c r="AC16" s="281"/>
      <c r="AD16" s="281" t="e">
        <f>IF(AND('Mapa final'!#REF!="Alta",'Mapa final'!#REF!="Mayor"),CONCATENATE("R",'Mapa final'!#REF!),"")</f>
        <v>#REF!</v>
      </c>
      <c r="AE16" s="281"/>
      <c r="AF16" s="281" t="e">
        <f>IF(AND('Mapa final'!#REF!="Alta",'Mapa final'!#REF!="Mayor"),CONCATENATE("R",'Mapa final'!#REF!),"")</f>
        <v>#REF!</v>
      </c>
      <c r="AG16" s="282"/>
      <c r="AH16" s="292" t="e">
        <f>IF(AND('Mapa final'!#REF!="Alta",'Mapa final'!#REF!="Catastrófico"),CONCATENATE("R",'Mapa final'!#REF!),"")</f>
        <v>#REF!</v>
      </c>
      <c r="AI16" s="293"/>
      <c r="AJ16" s="293" t="e">
        <f>IF(AND('Mapa final'!#REF!="Alta",'Mapa final'!#REF!="Catastrófico"),CONCATENATE("R",'Mapa final'!#REF!),"")</f>
        <v>#REF!</v>
      </c>
      <c r="AK16" s="293"/>
      <c r="AL16" s="293" t="e">
        <f>IF(AND('Mapa final'!#REF!="Alta",'Mapa final'!#REF!="Catastrófico"),CONCATENATE("R",'Mapa final'!#REF!),"")</f>
        <v>#REF!</v>
      </c>
      <c r="AM16" s="294"/>
      <c r="AN16" s="75"/>
      <c r="AO16" s="248"/>
      <c r="AP16" s="249"/>
      <c r="AQ16" s="249"/>
      <c r="AR16" s="249"/>
      <c r="AS16" s="249"/>
      <c r="AT16" s="25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34"/>
      <c r="C17" s="234"/>
      <c r="D17" s="235"/>
      <c r="E17" s="275"/>
      <c r="F17" s="276"/>
      <c r="G17" s="276"/>
      <c r="H17" s="276"/>
      <c r="I17" s="276"/>
      <c r="J17" s="301"/>
      <c r="K17" s="302"/>
      <c r="L17" s="302"/>
      <c r="M17" s="302"/>
      <c r="N17" s="302"/>
      <c r="O17" s="303"/>
      <c r="P17" s="301"/>
      <c r="Q17" s="302"/>
      <c r="R17" s="302"/>
      <c r="S17" s="302"/>
      <c r="T17" s="302"/>
      <c r="U17" s="303"/>
      <c r="V17" s="285"/>
      <c r="W17" s="281"/>
      <c r="X17" s="281"/>
      <c r="Y17" s="281"/>
      <c r="Z17" s="281"/>
      <c r="AA17" s="282"/>
      <c r="AB17" s="285"/>
      <c r="AC17" s="281"/>
      <c r="AD17" s="281"/>
      <c r="AE17" s="281"/>
      <c r="AF17" s="281"/>
      <c r="AG17" s="282"/>
      <c r="AH17" s="292"/>
      <c r="AI17" s="293"/>
      <c r="AJ17" s="293"/>
      <c r="AK17" s="293"/>
      <c r="AL17" s="293"/>
      <c r="AM17" s="294"/>
      <c r="AN17" s="75"/>
      <c r="AO17" s="248"/>
      <c r="AP17" s="249"/>
      <c r="AQ17" s="249"/>
      <c r="AR17" s="249"/>
      <c r="AS17" s="249"/>
      <c r="AT17" s="25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34"/>
      <c r="C18" s="234"/>
      <c r="D18" s="235"/>
      <c r="E18" s="275"/>
      <c r="F18" s="276"/>
      <c r="G18" s="276"/>
      <c r="H18" s="276"/>
      <c r="I18" s="276"/>
      <c r="J18" s="301" t="e">
        <f>IF(AND('Mapa final'!#REF!="Alta",'Mapa final'!#REF!="Leve"),CONCATENATE("R",'Mapa final'!#REF!),"")</f>
        <v>#REF!</v>
      </c>
      <c r="K18" s="302"/>
      <c r="L18" s="302" t="e">
        <f>IF(AND('Mapa final'!#REF!="Alta",'Mapa final'!#REF!="Leve"),CONCATENATE("R",'Mapa final'!#REF!),"")</f>
        <v>#REF!</v>
      </c>
      <c r="M18" s="302"/>
      <c r="N18" s="302" t="e">
        <f>IF(AND('Mapa final'!#REF!="Alta",'Mapa final'!#REF!="Leve"),CONCATENATE("R",'Mapa final'!#REF!),"")</f>
        <v>#REF!</v>
      </c>
      <c r="O18" s="303"/>
      <c r="P18" s="301" t="e">
        <f>IF(AND('Mapa final'!#REF!="Alta",'Mapa final'!#REF!="Menor"),CONCATENATE("R",'Mapa final'!#REF!),"")</f>
        <v>#REF!</v>
      </c>
      <c r="Q18" s="302"/>
      <c r="R18" s="302" t="e">
        <f>IF(AND('Mapa final'!#REF!="Alta",'Mapa final'!#REF!="Menor"),CONCATENATE("R",'Mapa final'!#REF!),"")</f>
        <v>#REF!</v>
      </c>
      <c r="S18" s="302"/>
      <c r="T18" s="302" t="e">
        <f>IF(AND('Mapa final'!#REF!="Alta",'Mapa final'!#REF!="Menor"),CONCATENATE("R",'Mapa final'!#REF!),"")</f>
        <v>#REF!</v>
      </c>
      <c r="U18" s="303"/>
      <c r="V18" s="285" t="e">
        <f>IF(AND('Mapa final'!#REF!="Alta",'Mapa final'!#REF!="Moderado"),CONCATENATE("R",'Mapa final'!#REF!),"")</f>
        <v>#REF!</v>
      </c>
      <c r="W18" s="281"/>
      <c r="X18" s="281" t="e">
        <f>IF(AND('Mapa final'!#REF!="Alta",'Mapa final'!#REF!="Moderado"),CONCATENATE("R",'Mapa final'!#REF!),"")</f>
        <v>#REF!</v>
      </c>
      <c r="Y18" s="281"/>
      <c r="Z18" s="281" t="e">
        <f>IF(AND('Mapa final'!#REF!="Alta",'Mapa final'!#REF!="Moderado"),CONCATENATE("R",'Mapa final'!#REF!),"")</f>
        <v>#REF!</v>
      </c>
      <c r="AA18" s="282"/>
      <c r="AB18" s="285" t="e">
        <f>IF(AND('Mapa final'!#REF!="Alta",'Mapa final'!#REF!="Mayor"),CONCATENATE("R",'Mapa final'!#REF!),"")</f>
        <v>#REF!</v>
      </c>
      <c r="AC18" s="281"/>
      <c r="AD18" s="281" t="e">
        <f>IF(AND('Mapa final'!#REF!="Alta",'Mapa final'!#REF!="Mayor"),CONCATENATE("R",'Mapa final'!#REF!),"")</f>
        <v>#REF!</v>
      </c>
      <c r="AE18" s="281"/>
      <c r="AF18" s="281" t="e">
        <f>IF(AND('Mapa final'!#REF!="Alta",'Mapa final'!#REF!="Mayor"),CONCATENATE("R",'Mapa final'!#REF!),"")</f>
        <v>#REF!</v>
      </c>
      <c r="AG18" s="282"/>
      <c r="AH18" s="292" t="e">
        <f>IF(AND('Mapa final'!#REF!="Alta",'Mapa final'!#REF!="Catastrófico"),CONCATENATE("R",'Mapa final'!#REF!),"")</f>
        <v>#REF!</v>
      </c>
      <c r="AI18" s="293"/>
      <c r="AJ18" s="293" t="e">
        <f>IF(AND('Mapa final'!#REF!="Alta",'Mapa final'!#REF!="Catastrófico"),CONCATENATE("R",'Mapa final'!#REF!),"")</f>
        <v>#REF!</v>
      </c>
      <c r="AK18" s="293"/>
      <c r="AL18" s="293" t="e">
        <f>IF(AND('Mapa final'!#REF!="Alta",'Mapa final'!#REF!="Catastrófico"),CONCATENATE("R",'Mapa final'!#REF!),"")</f>
        <v>#REF!</v>
      </c>
      <c r="AM18" s="294"/>
      <c r="AN18" s="75"/>
      <c r="AO18" s="248"/>
      <c r="AP18" s="249"/>
      <c r="AQ18" s="249"/>
      <c r="AR18" s="249"/>
      <c r="AS18" s="249"/>
      <c r="AT18" s="25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34"/>
      <c r="C19" s="234"/>
      <c r="D19" s="235"/>
      <c r="E19" s="275"/>
      <c r="F19" s="276"/>
      <c r="G19" s="276"/>
      <c r="H19" s="276"/>
      <c r="I19" s="276"/>
      <c r="J19" s="301"/>
      <c r="K19" s="302"/>
      <c r="L19" s="302"/>
      <c r="M19" s="302"/>
      <c r="N19" s="302"/>
      <c r="O19" s="303"/>
      <c r="P19" s="301"/>
      <c r="Q19" s="302"/>
      <c r="R19" s="302"/>
      <c r="S19" s="302"/>
      <c r="T19" s="302"/>
      <c r="U19" s="303"/>
      <c r="V19" s="285"/>
      <c r="W19" s="281"/>
      <c r="X19" s="281"/>
      <c r="Y19" s="281"/>
      <c r="Z19" s="281"/>
      <c r="AA19" s="282"/>
      <c r="AB19" s="285"/>
      <c r="AC19" s="281"/>
      <c r="AD19" s="281"/>
      <c r="AE19" s="281"/>
      <c r="AF19" s="281"/>
      <c r="AG19" s="282"/>
      <c r="AH19" s="292"/>
      <c r="AI19" s="293"/>
      <c r="AJ19" s="293"/>
      <c r="AK19" s="293"/>
      <c r="AL19" s="293"/>
      <c r="AM19" s="294"/>
      <c r="AN19" s="75"/>
      <c r="AO19" s="248"/>
      <c r="AP19" s="249"/>
      <c r="AQ19" s="249"/>
      <c r="AR19" s="249"/>
      <c r="AS19" s="249"/>
      <c r="AT19" s="25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34"/>
      <c r="C20" s="234"/>
      <c r="D20" s="235"/>
      <c r="E20" s="275"/>
      <c r="F20" s="276"/>
      <c r="G20" s="276"/>
      <c r="H20" s="276"/>
      <c r="I20" s="276"/>
      <c r="J20" s="301" t="e">
        <f>IF(AND('Mapa final'!#REF!="Alta",'Mapa final'!#REF!="Leve"),CONCATENATE("R",'Mapa final'!#REF!),"")</f>
        <v>#REF!</v>
      </c>
      <c r="K20" s="302"/>
      <c r="L20" s="302" t="str">
        <f>IF(AND('Mapa final'!$L$14="Alta",'Mapa final'!$P$14="Leve"),CONCATENATE("R",'Mapa final'!$A$14),"")</f>
        <v/>
      </c>
      <c r="M20" s="302"/>
      <c r="N20" s="302" t="str">
        <f>IF(AND('Mapa final'!$L$16="Alta",'Mapa final'!$P$16="Leve"),CONCATENATE("R",'Mapa final'!$A$16),"")</f>
        <v/>
      </c>
      <c r="O20" s="303"/>
      <c r="P20" s="301" t="e">
        <f>IF(AND('Mapa final'!#REF!="Alta",'Mapa final'!#REF!="Menor"),CONCATENATE("R",'Mapa final'!#REF!),"")</f>
        <v>#REF!</v>
      </c>
      <c r="Q20" s="302"/>
      <c r="R20" s="302" t="str">
        <f>IF(AND('Mapa final'!$L$14="Alta",'Mapa final'!$P$14="Menor"),CONCATENATE("R",'Mapa final'!$A$14),"")</f>
        <v/>
      </c>
      <c r="S20" s="302"/>
      <c r="T20" s="302" t="str">
        <f>IF(AND('Mapa final'!$L$16="Alta",'Mapa final'!$P$16="Menor"),CONCATENATE("R",'Mapa final'!$A$16),"")</f>
        <v/>
      </c>
      <c r="U20" s="303"/>
      <c r="V20" s="285" t="e">
        <f>IF(AND('Mapa final'!#REF!="Alta",'Mapa final'!#REF!="Moderado"),CONCATENATE("R",'Mapa final'!#REF!),"")</f>
        <v>#REF!</v>
      </c>
      <c r="W20" s="281"/>
      <c r="X20" s="281" t="str">
        <f>IF(AND('Mapa final'!$L$14="Alta",'Mapa final'!$P$14="Moderado"),CONCATENATE("R",'Mapa final'!$A$14),"")</f>
        <v/>
      </c>
      <c r="Y20" s="281"/>
      <c r="Z20" s="281" t="str">
        <f>IF(AND('Mapa final'!$L$16="Alta",'Mapa final'!$P$16="Moderado"),CONCATENATE("R",'Mapa final'!$A$16),"")</f>
        <v/>
      </c>
      <c r="AA20" s="282"/>
      <c r="AB20" s="285" t="e">
        <f>IF(AND('Mapa final'!#REF!="Alta",'Mapa final'!#REF!="Mayor"),CONCATENATE("R",'Mapa final'!#REF!),"")</f>
        <v>#REF!</v>
      </c>
      <c r="AC20" s="281"/>
      <c r="AD20" s="281" t="str">
        <f>IF(AND('Mapa final'!$L$14="Alta",'Mapa final'!$P$14="Mayor"),CONCATENATE("R",'Mapa final'!$A$14),"")</f>
        <v/>
      </c>
      <c r="AE20" s="281"/>
      <c r="AF20" s="281" t="str">
        <f>IF(AND('Mapa final'!$L$16="Alta",'Mapa final'!$P$16="Mayor"),CONCATENATE("R",'Mapa final'!$A$16),"")</f>
        <v/>
      </c>
      <c r="AG20" s="282"/>
      <c r="AH20" s="292" t="e">
        <f>IF(AND('Mapa final'!#REF!="Alta",'Mapa final'!#REF!="Catastrófico"),CONCATENATE("R",'Mapa final'!#REF!),"")</f>
        <v>#REF!</v>
      </c>
      <c r="AI20" s="293"/>
      <c r="AJ20" s="293" t="str">
        <f>IF(AND('Mapa final'!$L$14="Alta",'Mapa final'!$P$14="Catastrófico"),CONCATENATE("R",'Mapa final'!$A$14),"")</f>
        <v/>
      </c>
      <c r="AK20" s="293"/>
      <c r="AL20" s="293" t="str">
        <f>IF(AND('Mapa final'!$L$16="Alta",'Mapa final'!$P$16="Catastrófico"),CONCATENATE("R",'Mapa final'!$A$16),"")</f>
        <v/>
      </c>
      <c r="AM20" s="294"/>
      <c r="AN20" s="75"/>
      <c r="AO20" s="248"/>
      <c r="AP20" s="249"/>
      <c r="AQ20" s="249"/>
      <c r="AR20" s="249"/>
      <c r="AS20" s="249"/>
      <c r="AT20" s="25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34"/>
      <c r="C21" s="234"/>
      <c r="D21" s="235"/>
      <c r="E21" s="278"/>
      <c r="F21" s="279"/>
      <c r="G21" s="279"/>
      <c r="H21" s="279"/>
      <c r="I21" s="279"/>
      <c r="J21" s="304"/>
      <c r="K21" s="305"/>
      <c r="L21" s="305"/>
      <c r="M21" s="305"/>
      <c r="N21" s="305"/>
      <c r="O21" s="306"/>
      <c r="P21" s="304"/>
      <c r="Q21" s="305"/>
      <c r="R21" s="305"/>
      <c r="S21" s="305"/>
      <c r="T21" s="305"/>
      <c r="U21" s="306"/>
      <c r="V21" s="289"/>
      <c r="W21" s="290"/>
      <c r="X21" s="290"/>
      <c r="Y21" s="290"/>
      <c r="Z21" s="290"/>
      <c r="AA21" s="291"/>
      <c r="AB21" s="289"/>
      <c r="AC21" s="290"/>
      <c r="AD21" s="290"/>
      <c r="AE21" s="290"/>
      <c r="AF21" s="290"/>
      <c r="AG21" s="291"/>
      <c r="AH21" s="295"/>
      <c r="AI21" s="296"/>
      <c r="AJ21" s="296"/>
      <c r="AK21" s="296"/>
      <c r="AL21" s="296"/>
      <c r="AM21" s="297"/>
      <c r="AN21" s="75"/>
      <c r="AO21" s="251"/>
      <c r="AP21" s="252"/>
      <c r="AQ21" s="252"/>
      <c r="AR21" s="252"/>
      <c r="AS21" s="252"/>
      <c r="AT21" s="25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34"/>
      <c r="C22" s="234"/>
      <c r="D22" s="235"/>
      <c r="E22" s="272" t="s">
        <v>116</v>
      </c>
      <c r="F22" s="273"/>
      <c r="G22" s="273"/>
      <c r="H22" s="273"/>
      <c r="I22" s="274"/>
      <c r="J22" s="307" t="e">
        <f>IF(AND('Mapa final'!#REF!="Media",'Mapa final'!#REF!="Leve"),CONCATENATE("R",'Mapa final'!#REF!),"")</f>
        <v>#REF!</v>
      </c>
      <c r="K22" s="308"/>
      <c r="L22" s="308" t="str">
        <f>IF(AND('Mapa final'!$L$12="Media",'Mapa final'!$P$12="Leve"),CONCATENATE("R",'Mapa final'!$A$12),"")</f>
        <v/>
      </c>
      <c r="M22" s="308"/>
      <c r="N22" s="308" t="e">
        <f>IF(AND('Mapa final'!#REF!="Media",'Mapa final'!#REF!="Leve"),CONCATENATE("R",'Mapa final'!#REF!),"")</f>
        <v>#REF!</v>
      </c>
      <c r="O22" s="309"/>
      <c r="P22" s="307" t="e">
        <f>IF(AND('Mapa final'!#REF!="Media",'Mapa final'!#REF!="Menor"),CONCATENATE("R",'Mapa final'!#REF!),"")</f>
        <v>#REF!</v>
      </c>
      <c r="Q22" s="308"/>
      <c r="R22" s="308" t="str">
        <f>IF(AND('Mapa final'!$L$12="Media",'Mapa final'!$P$12="Menor"),CONCATENATE("R",'Mapa final'!$A$12),"")</f>
        <v>R1</v>
      </c>
      <c r="S22" s="308"/>
      <c r="T22" s="308" t="e">
        <f>IF(AND('Mapa final'!#REF!="Media",'Mapa final'!#REF!="Menor"),CONCATENATE("R",'Mapa final'!#REF!),"")</f>
        <v>#REF!</v>
      </c>
      <c r="U22" s="309"/>
      <c r="V22" s="307" t="e">
        <f>IF(AND('Mapa final'!#REF!="Media",'Mapa final'!#REF!="Moderado"),CONCATENATE("R",'Mapa final'!#REF!),"")</f>
        <v>#REF!</v>
      </c>
      <c r="W22" s="308"/>
      <c r="X22" s="308" t="str">
        <f>IF(AND('Mapa final'!$L$12="Media",'Mapa final'!$P$12="Moderado"),CONCATENATE("R",'Mapa final'!$A$12),"")</f>
        <v/>
      </c>
      <c r="Y22" s="308"/>
      <c r="Z22" s="308" t="e">
        <f>IF(AND('Mapa final'!#REF!="Media",'Mapa final'!#REF!="Moderado"),CONCATENATE("R",'Mapa final'!#REF!),"")</f>
        <v>#REF!</v>
      </c>
      <c r="AA22" s="309"/>
      <c r="AB22" s="283" t="e">
        <f>IF(AND('Mapa final'!#REF!="Media",'Mapa final'!#REF!="Mayor"),CONCATENATE("R",'Mapa final'!#REF!),"")</f>
        <v>#REF!</v>
      </c>
      <c r="AC22" s="284"/>
      <c r="AD22" s="284" t="str">
        <f>IF(AND('Mapa final'!$L$12="Media",'Mapa final'!$P$12="Mayor"),CONCATENATE("R",'Mapa final'!$A$12),"")</f>
        <v/>
      </c>
      <c r="AE22" s="284"/>
      <c r="AF22" s="284" t="e">
        <f>IF(AND('Mapa final'!#REF!="Media",'Mapa final'!#REF!="Mayor"),CONCATENATE("R",'Mapa final'!#REF!),"")</f>
        <v>#REF!</v>
      </c>
      <c r="AG22" s="286"/>
      <c r="AH22" s="298" t="e">
        <f>IF(AND('Mapa final'!#REF!="Media",'Mapa final'!#REF!="Catastrófico"),CONCATENATE("R",'Mapa final'!#REF!),"")</f>
        <v>#REF!</v>
      </c>
      <c r="AI22" s="299"/>
      <c r="AJ22" s="299" t="str">
        <f>IF(AND('Mapa final'!$L$12="Media",'Mapa final'!$P$12="Catastrófico"),CONCATENATE("R",'Mapa final'!$A$12),"")</f>
        <v/>
      </c>
      <c r="AK22" s="299"/>
      <c r="AL22" s="299" t="e">
        <f>IF(AND('Mapa final'!#REF!="Media",'Mapa final'!#REF!="Catastrófico"),CONCATENATE("R",'Mapa final'!#REF!),"")</f>
        <v>#REF!</v>
      </c>
      <c r="AM22" s="300"/>
      <c r="AN22" s="75"/>
      <c r="AO22" s="254" t="s">
        <v>80</v>
      </c>
      <c r="AP22" s="255"/>
      <c r="AQ22" s="255"/>
      <c r="AR22" s="255"/>
      <c r="AS22" s="255"/>
      <c r="AT22" s="25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34"/>
      <c r="C23" s="234"/>
      <c r="D23" s="235"/>
      <c r="E23" s="275"/>
      <c r="F23" s="276"/>
      <c r="G23" s="276"/>
      <c r="H23" s="276"/>
      <c r="I23" s="277"/>
      <c r="J23" s="301"/>
      <c r="K23" s="302"/>
      <c r="L23" s="302"/>
      <c r="M23" s="302"/>
      <c r="N23" s="302"/>
      <c r="O23" s="303"/>
      <c r="P23" s="301"/>
      <c r="Q23" s="302"/>
      <c r="R23" s="302"/>
      <c r="S23" s="302"/>
      <c r="T23" s="302"/>
      <c r="U23" s="303"/>
      <c r="V23" s="301"/>
      <c r="W23" s="302"/>
      <c r="X23" s="302"/>
      <c r="Y23" s="302"/>
      <c r="Z23" s="302"/>
      <c r="AA23" s="303"/>
      <c r="AB23" s="285"/>
      <c r="AC23" s="281"/>
      <c r="AD23" s="281"/>
      <c r="AE23" s="281"/>
      <c r="AF23" s="281"/>
      <c r="AG23" s="282"/>
      <c r="AH23" s="292"/>
      <c r="AI23" s="293"/>
      <c r="AJ23" s="293"/>
      <c r="AK23" s="293"/>
      <c r="AL23" s="293"/>
      <c r="AM23" s="294"/>
      <c r="AN23" s="75"/>
      <c r="AO23" s="257"/>
      <c r="AP23" s="258"/>
      <c r="AQ23" s="258"/>
      <c r="AR23" s="258"/>
      <c r="AS23" s="258"/>
      <c r="AT23" s="25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34"/>
      <c r="C24" s="234"/>
      <c r="D24" s="235"/>
      <c r="E24" s="275"/>
      <c r="F24" s="276"/>
      <c r="G24" s="276"/>
      <c r="H24" s="276"/>
      <c r="I24" s="277"/>
      <c r="J24" s="301" t="e">
        <f>IF(AND('Mapa final'!#REF!="Media",'Mapa final'!#REF!="Leve"),CONCATENATE("R",'Mapa final'!#REF!),"")</f>
        <v>#REF!</v>
      </c>
      <c r="K24" s="302"/>
      <c r="L24" s="302" t="e">
        <f>IF(AND('Mapa final'!#REF!="Media",'Mapa final'!#REF!="Leve"),CONCATENATE("R",'Mapa final'!#REF!),"")</f>
        <v>#REF!</v>
      </c>
      <c r="M24" s="302"/>
      <c r="N24" s="302" t="e">
        <f>IF(AND('Mapa final'!#REF!="Media",'Mapa final'!#REF!="Leve"),CONCATENATE("R",'Mapa final'!#REF!),"")</f>
        <v>#REF!</v>
      </c>
      <c r="O24" s="303"/>
      <c r="P24" s="301" t="e">
        <f>IF(AND('Mapa final'!#REF!="Media",'Mapa final'!#REF!="Menor"),CONCATENATE("R",'Mapa final'!#REF!),"")</f>
        <v>#REF!</v>
      </c>
      <c r="Q24" s="302"/>
      <c r="R24" s="302" t="e">
        <f>IF(AND('Mapa final'!#REF!="Media",'Mapa final'!#REF!="Menor"),CONCATENATE("R",'Mapa final'!#REF!),"")</f>
        <v>#REF!</v>
      </c>
      <c r="S24" s="302"/>
      <c r="T24" s="302" t="e">
        <f>IF(AND('Mapa final'!#REF!="Media",'Mapa final'!#REF!="Menor"),CONCATENATE("R",'Mapa final'!#REF!),"")</f>
        <v>#REF!</v>
      </c>
      <c r="U24" s="303"/>
      <c r="V24" s="301" t="e">
        <f>IF(AND('Mapa final'!#REF!="Media",'Mapa final'!#REF!="Moderado"),CONCATENATE("R",'Mapa final'!#REF!),"")</f>
        <v>#REF!</v>
      </c>
      <c r="W24" s="302"/>
      <c r="X24" s="302" t="e">
        <f>IF(AND('Mapa final'!#REF!="Media",'Mapa final'!#REF!="Moderado"),CONCATENATE("R",'Mapa final'!#REF!),"")</f>
        <v>#REF!</v>
      </c>
      <c r="Y24" s="302"/>
      <c r="Z24" s="302" t="e">
        <f>IF(AND('Mapa final'!#REF!="Media",'Mapa final'!#REF!="Moderado"),CONCATENATE("R",'Mapa final'!#REF!),"")</f>
        <v>#REF!</v>
      </c>
      <c r="AA24" s="303"/>
      <c r="AB24" s="285" t="e">
        <f>IF(AND('Mapa final'!#REF!="Media",'Mapa final'!#REF!="Mayor"),CONCATENATE("R",'Mapa final'!#REF!),"")</f>
        <v>#REF!</v>
      </c>
      <c r="AC24" s="281"/>
      <c r="AD24" s="281" t="e">
        <f>IF(AND('Mapa final'!#REF!="Media",'Mapa final'!#REF!="Mayor"),CONCATENATE("R",'Mapa final'!#REF!),"")</f>
        <v>#REF!</v>
      </c>
      <c r="AE24" s="281"/>
      <c r="AF24" s="281" t="e">
        <f>IF(AND('Mapa final'!#REF!="Media",'Mapa final'!#REF!="Mayor"),CONCATENATE("R",'Mapa final'!#REF!),"")</f>
        <v>#REF!</v>
      </c>
      <c r="AG24" s="282"/>
      <c r="AH24" s="292" t="e">
        <f>IF(AND('Mapa final'!#REF!="Media",'Mapa final'!#REF!="Catastrófico"),CONCATENATE("R",'Mapa final'!#REF!),"")</f>
        <v>#REF!</v>
      </c>
      <c r="AI24" s="293"/>
      <c r="AJ24" s="293" t="e">
        <f>IF(AND('Mapa final'!#REF!="Media",'Mapa final'!#REF!="Catastrófico"),CONCATENATE("R",'Mapa final'!#REF!),"")</f>
        <v>#REF!</v>
      </c>
      <c r="AK24" s="293"/>
      <c r="AL24" s="293" t="e">
        <f>IF(AND('Mapa final'!#REF!="Media",'Mapa final'!#REF!="Catastrófico"),CONCATENATE("R",'Mapa final'!#REF!),"")</f>
        <v>#REF!</v>
      </c>
      <c r="AM24" s="294"/>
      <c r="AN24" s="75"/>
      <c r="AO24" s="257"/>
      <c r="AP24" s="258"/>
      <c r="AQ24" s="258"/>
      <c r="AR24" s="258"/>
      <c r="AS24" s="258"/>
      <c r="AT24" s="25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34"/>
      <c r="C25" s="234"/>
      <c r="D25" s="235"/>
      <c r="E25" s="275"/>
      <c r="F25" s="276"/>
      <c r="G25" s="276"/>
      <c r="H25" s="276"/>
      <c r="I25" s="277"/>
      <c r="J25" s="301"/>
      <c r="K25" s="302"/>
      <c r="L25" s="302"/>
      <c r="M25" s="302"/>
      <c r="N25" s="302"/>
      <c r="O25" s="303"/>
      <c r="P25" s="301"/>
      <c r="Q25" s="302"/>
      <c r="R25" s="302"/>
      <c r="S25" s="302"/>
      <c r="T25" s="302"/>
      <c r="U25" s="303"/>
      <c r="V25" s="301"/>
      <c r="W25" s="302"/>
      <c r="X25" s="302"/>
      <c r="Y25" s="302"/>
      <c r="Z25" s="302"/>
      <c r="AA25" s="303"/>
      <c r="AB25" s="285"/>
      <c r="AC25" s="281"/>
      <c r="AD25" s="281"/>
      <c r="AE25" s="281"/>
      <c r="AF25" s="281"/>
      <c r="AG25" s="282"/>
      <c r="AH25" s="292"/>
      <c r="AI25" s="293"/>
      <c r="AJ25" s="293"/>
      <c r="AK25" s="293"/>
      <c r="AL25" s="293"/>
      <c r="AM25" s="294"/>
      <c r="AN25" s="75"/>
      <c r="AO25" s="257"/>
      <c r="AP25" s="258"/>
      <c r="AQ25" s="258"/>
      <c r="AR25" s="258"/>
      <c r="AS25" s="258"/>
      <c r="AT25" s="25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34"/>
      <c r="C26" s="234"/>
      <c r="D26" s="235"/>
      <c r="E26" s="275"/>
      <c r="F26" s="276"/>
      <c r="G26" s="276"/>
      <c r="H26" s="276"/>
      <c r="I26" s="277"/>
      <c r="J26" s="301" t="e">
        <f>IF(AND('Mapa final'!#REF!="Media",'Mapa final'!#REF!="Leve"),CONCATENATE("R",'Mapa final'!#REF!),"")</f>
        <v>#REF!</v>
      </c>
      <c r="K26" s="302"/>
      <c r="L26" s="302" t="e">
        <f>IF(AND('Mapa final'!#REF!="Media",'Mapa final'!#REF!="Leve"),CONCATENATE("R",'Mapa final'!#REF!),"")</f>
        <v>#REF!</v>
      </c>
      <c r="M26" s="302"/>
      <c r="N26" s="302" t="e">
        <f>IF(AND('Mapa final'!#REF!="Media",'Mapa final'!#REF!="Leve"),CONCATENATE("R",'Mapa final'!#REF!),"")</f>
        <v>#REF!</v>
      </c>
      <c r="O26" s="303"/>
      <c r="P26" s="301" t="e">
        <f>IF(AND('Mapa final'!#REF!="Media",'Mapa final'!#REF!="Menor"),CONCATENATE("R",'Mapa final'!#REF!),"")</f>
        <v>#REF!</v>
      </c>
      <c r="Q26" s="302"/>
      <c r="R26" s="302" t="e">
        <f>IF(AND('Mapa final'!#REF!="Media",'Mapa final'!#REF!="Menor"),CONCATENATE("R",'Mapa final'!#REF!),"")</f>
        <v>#REF!</v>
      </c>
      <c r="S26" s="302"/>
      <c r="T26" s="302" t="e">
        <f>IF(AND('Mapa final'!#REF!="Media",'Mapa final'!#REF!="Menor"),CONCATENATE("R",'Mapa final'!#REF!),"")</f>
        <v>#REF!</v>
      </c>
      <c r="U26" s="303"/>
      <c r="V26" s="301" t="e">
        <f>IF(AND('Mapa final'!#REF!="Media",'Mapa final'!#REF!="Moderado"),CONCATENATE("R",'Mapa final'!#REF!),"")</f>
        <v>#REF!</v>
      </c>
      <c r="W26" s="302"/>
      <c r="X26" s="302" t="e">
        <f>IF(AND('Mapa final'!#REF!="Media",'Mapa final'!#REF!="Moderado"),CONCATENATE("R",'Mapa final'!#REF!),"")</f>
        <v>#REF!</v>
      </c>
      <c r="Y26" s="302"/>
      <c r="Z26" s="302" t="e">
        <f>IF(AND('Mapa final'!#REF!="Media",'Mapa final'!#REF!="Moderado"),CONCATENATE("R",'Mapa final'!#REF!),"")</f>
        <v>#REF!</v>
      </c>
      <c r="AA26" s="303"/>
      <c r="AB26" s="285" t="e">
        <f>IF(AND('Mapa final'!#REF!="Media",'Mapa final'!#REF!="Mayor"),CONCATENATE("R",'Mapa final'!#REF!),"")</f>
        <v>#REF!</v>
      </c>
      <c r="AC26" s="281"/>
      <c r="AD26" s="281" t="e">
        <f>IF(AND('Mapa final'!#REF!="Media",'Mapa final'!#REF!="Mayor"),CONCATENATE("R",'Mapa final'!#REF!),"")</f>
        <v>#REF!</v>
      </c>
      <c r="AE26" s="281"/>
      <c r="AF26" s="281" t="e">
        <f>IF(AND('Mapa final'!#REF!="Media",'Mapa final'!#REF!="Mayor"),CONCATENATE("R",'Mapa final'!#REF!),"")</f>
        <v>#REF!</v>
      </c>
      <c r="AG26" s="282"/>
      <c r="AH26" s="292" t="e">
        <f>IF(AND('Mapa final'!#REF!="Media",'Mapa final'!#REF!="Catastrófico"),CONCATENATE("R",'Mapa final'!#REF!),"")</f>
        <v>#REF!</v>
      </c>
      <c r="AI26" s="293"/>
      <c r="AJ26" s="293" t="e">
        <f>IF(AND('Mapa final'!#REF!="Media",'Mapa final'!#REF!="Catastrófico"),CONCATENATE("R",'Mapa final'!#REF!),"")</f>
        <v>#REF!</v>
      </c>
      <c r="AK26" s="293"/>
      <c r="AL26" s="293" t="e">
        <f>IF(AND('Mapa final'!#REF!="Media",'Mapa final'!#REF!="Catastrófico"),CONCATENATE("R",'Mapa final'!#REF!),"")</f>
        <v>#REF!</v>
      </c>
      <c r="AM26" s="294"/>
      <c r="AN26" s="75"/>
      <c r="AO26" s="257"/>
      <c r="AP26" s="258"/>
      <c r="AQ26" s="258"/>
      <c r="AR26" s="258"/>
      <c r="AS26" s="258"/>
      <c r="AT26" s="25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34"/>
      <c r="C27" s="234"/>
      <c r="D27" s="235"/>
      <c r="E27" s="275"/>
      <c r="F27" s="276"/>
      <c r="G27" s="276"/>
      <c r="H27" s="276"/>
      <c r="I27" s="277"/>
      <c r="J27" s="301"/>
      <c r="K27" s="302"/>
      <c r="L27" s="302"/>
      <c r="M27" s="302"/>
      <c r="N27" s="302"/>
      <c r="O27" s="303"/>
      <c r="P27" s="301"/>
      <c r="Q27" s="302"/>
      <c r="R27" s="302"/>
      <c r="S27" s="302"/>
      <c r="T27" s="302"/>
      <c r="U27" s="303"/>
      <c r="V27" s="301"/>
      <c r="W27" s="302"/>
      <c r="X27" s="302"/>
      <c r="Y27" s="302"/>
      <c r="Z27" s="302"/>
      <c r="AA27" s="303"/>
      <c r="AB27" s="285"/>
      <c r="AC27" s="281"/>
      <c r="AD27" s="281"/>
      <c r="AE27" s="281"/>
      <c r="AF27" s="281"/>
      <c r="AG27" s="282"/>
      <c r="AH27" s="292"/>
      <c r="AI27" s="293"/>
      <c r="AJ27" s="293"/>
      <c r="AK27" s="293"/>
      <c r="AL27" s="293"/>
      <c r="AM27" s="294"/>
      <c r="AN27" s="75"/>
      <c r="AO27" s="257"/>
      <c r="AP27" s="258"/>
      <c r="AQ27" s="258"/>
      <c r="AR27" s="258"/>
      <c r="AS27" s="258"/>
      <c r="AT27" s="25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34"/>
      <c r="C28" s="234"/>
      <c r="D28" s="235"/>
      <c r="E28" s="275"/>
      <c r="F28" s="276"/>
      <c r="G28" s="276"/>
      <c r="H28" s="276"/>
      <c r="I28" s="277"/>
      <c r="J28" s="301" t="e">
        <f>IF(AND('Mapa final'!#REF!="Media",'Mapa final'!#REF!="Leve"),CONCATENATE("R",'Mapa final'!#REF!),"")</f>
        <v>#REF!</v>
      </c>
      <c r="K28" s="302"/>
      <c r="L28" s="302" t="str">
        <f>IF(AND('Mapa final'!$L$14="Media",'Mapa final'!$P$14="Leve"),CONCATENATE("R",'Mapa final'!$A$14),"")</f>
        <v/>
      </c>
      <c r="M28" s="302"/>
      <c r="N28" s="302" t="str">
        <f>IF(AND('Mapa final'!$L$16="Media",'Mapa final'!$P$16="Leve"),CONCATENATE("R",'Mapa final'!$A$16),"")</f>
        <v/>
      </c>
      <c r="O28" s="303"/>
      <c r="P28" s="301" t="e">
        <f>IF(AND('Mapa final'!#REF!="Media",'Mapa final'!#REF!="Menor"),CONCATENATE("R",'Mapa final'!#REF!),"")</f>
        <v>#REF!</v>
      </c>
      <c r="Q28" s="302"/>
      <c r="R28" s="302" t="str">
        <f>IF(AND('Mapa final'!$L$14="Media",'Mapa final'!$P$14="Menor"),CONCATENATE("R",'Mapa final'!$A$14),"")</f>
        <v/>
      </c>
      <c r="S28" s="302"/>
      <c r="T28" s="302" t="str">
        <f>IF(AND('Mapa final'!$L$16="Media",'Mapa final'!$P$16="Menor"),CONCATENATE("R",'Mapa final'!$A$16),"")</f>
        <v/>
      </c>
      <c r="U28" s="303"/>
      <c r="V28" s="301" t="e">
        <f>IF(AND('Mapa final'!#REF!="Media",'Mapa final'!#REF!="Moderado"),CONCATENATE("R",'Mapa final'!#REF!),"")</f>
        <v>#REF!</v>
      </c>
      <c r="W28" s="302"/>
      <c r="X28" s="302" t="str">
        <f>IF(AND('Mapa final'!$L$14="Media",'Mapa final'!$P$14="Moderado"),CONCATENATE("R",'Mapa final'!$A$14),"")</f>
        <v/>
      </c>
      <c r="Y28" s="302"/>
      <c r="Z28" s="302" t="str">
        <f>IF(AND('Mapa final'!$L$16="Media",'Mapa final'!$P$16="Moderado"),CONCATENATE("R",'Mapa final'!$A$16),"")</f>
        <v/>
      </c>
      <c r="AA28" s="303"/>
      <c r="AB28" s="285" t="e">
        <f>IF(AND('Mapa final'!#REF!="Media",'Mapa final'!#REF!="Mayor"),CONCATENATE("R",'Mapa final'!#REF!),"")</f>
        <v>#REF!</v>
      </c>
      <c r="AC28" s="281"/>
      <c r="AD28" s="281" t="str">
        <f>IF(AND('Mapa final'!$L$14="Media",'Mapa final'!$P$14="Mayor"),CONCATENATE("R",'Mapa final'!$A$14),"")</f>
        <v/>
      </c>
      <c r="AE28" s="281"/>
      <c r="AF28" s="281" t="str">
        <f>IF(AND('Mapa final'!$L$16="Media",'Mapa final'!$P$16="Mayor"),CONCATENATE("R",'Mapa final'!$A$16),"")</f>
        <v/>
      </c>
      <c r="AG28" s="282"/>
      <c r="AH28" s="292" t="e">
        <f>IF(AND('Mapa final'!#REF!="Media",'Mapa final'!#REF!="Catastrófico"),CONCATENATE("R",'Mapa final'!#REF!),"")</f>
        <v>#REF!</v>
      </c>
      <c r="AI28" s="293"/>
      <c r="AJ28" s="293" t="str">
        <f>IF(AND('Mapa final'!$L$14="Media",'Mapa final'!$P$14="Catastrófico"),CONCATENATE("R",'Mapa final'!$A$14),"")</f>
        <v/>
      </c>
      <c r="AK28" s="293"/>
      <c r="AL28" s="293" t="str">
        <f>IF(AND('Mapa final'!$L$16="Media",'Mapa final'!$P$16="Catastrófico"),CONCATENATE("R",'Mapa final'!$A$16),"")</f>
        <v/>
      </c>
      <c r="AM28" s="294"/>
      <c r="AN28" s="75"/>
      <c r="AO28" s="257"/>
      <c r="AP28" s="258"/>
      <c r="AQ28" s="258"/>
      <c r="AR28" s="258"/>
      <c r="AS28" s="258"/>
      <c r="AT28" s="25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34"/>
      <c r="C29" s="234"/>
      <c r="D29" s="235"/>
      <c r="E29" s="278"/>
      <c r="F29" s="279"/>
      <c r="G29" s="279"/>
      <c r="H29" s="279"/>
      <c r="I29" s="280"/>
      <c r="J29" s="301"/>
      <c r="K29" s="302"/>
      <c r="L29" s="302"/>
      <c r="M29" s="302"/>
      <c r="N29" s="302"/>
      <c r="O29" s="303"/>
      <c r="P29" s="304"/>
      <c r="Q29" s="305"/>
      <c r="R29" s="305"/>
      <c r="S29" s="305"/>
      <c r="T29" s="305"/>
      <c r="U29" s="306"/>
      <c r="V29" s="304"/>
      <c r="W29" s="305"/>
      <c r="X29" s="305"/>
      <c r="Y29" s="305"/>
      <c r="Z29" s="305"/>
      <c r="AA29" s="306"/>
      <c r="AB29" s="289"/>
      <c r="AC29" s="290"/>
      <c r="AD29" s="290"/>
      <c r="AE29" s="290"/>
      <c r="AF29" s="290"/>
      <c r="AG29" s="291"/>
      <c r="AH29" s="295"/>
      <c r="AI29" s="296"/>
      <c r="AJ29" s="296"/>
      <c r="AK29" s="296"/>
      <c r="AL29" s="296"/>
      <c r="AM29" s="297"/>
      <c r="AN29" s="75"/>
      <c r="AO29" s="260"/>
      <c r="AP29" s="261"/>
      <c r="AQ29" s="261"/>
      <c r="AR29" s="261"/>
      <c r="AS29" s="261"/>
      <c r="AT29" s="26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34"/>
      <c r="C30" s="234"/>
      <c r="D30" s="235"/>
      <c r="E30" s="272" t="s">
        <v>113</v>
      </c>
      <c r="F30" s="273"/>
      <c r="G30" s="273"/>
      <c r="H30" s="273"/>
      <c r="I30" s="273"/>
      <c r="J30" s="316" t="e">
        <f>IF(AND('Mapa final'!#REF!="Baja",'Mapa final'!#REF!="Leve"),CONCATENATE("R",'Mapa final'!#REF!),"")</f>
        <v>#REF!</v>
      </c>
      <c r="K30" s="317"/>
      <c r="L30" s="317" t="str">
        <f>IF(AND('Mapa final'!$L$12="Baja",'Mapa final'!$P$12="Leve"),CONCATENATE("R",'Mapa final'!$A$12),"")</f>
        <v/>
      </c>
      <c r="M30" s="317"/>
      <c r="N30" s="317" t="e">
        <f>IF(AND('Mapa final'!#REF!="Baja",'Mapa final'!#REF!="Leve"),CONCATENATE("R",'Mapa final'!#REF!),"")</f>
        <v>#REF!</v>
      </c>
      <c r="O30" s="318"/>
      <c r="P30" s="308" t="e">
        <f>IF(AND('Mapa final'!#REF!="Baja",'Mapa final'!#REF!="Menor"),CONCATENATE("R",'Mapa final'!#REF!),"")</f>
        <v>#REF!</v>
      </c>
      <c r="Q30" s="308"/>
      <c r="R30" s="308" t="str">
        <f>IF(AND('Mapa final'!$L$12="Baja",'Mapa final'!$P$12="Menor"),CONCATENATE("R",'Mapa final'!$A$12),"")</f>
        <v/>
      </c>
      <c r="S30" s="308"/>
      <c r="T30" s="308" t="e">
        <f>IF(AND('Mapa final'!#REF!="Baja",'Mapa final'!#REF!="Menor"),CONCATENATE("R",'Mapa final'!#REF!),"")</f>
        <v>#REF!</v>
      </c>
      <c r="U30" s="309"/>
      <c r="V30" s="307" t="e">
        <f>IF(AND('Mapa final'!#REF!="Baja",'Mapa final'!#REF!="Moderado"),CONCATENATE("R",'Mapa final'!#REF!),"")</f>
        <v>#REF!</v>
      </c>
      <c r="W30" s="308"/>
      <c r="X30" s="308" t="str">
        <f>IF(AND('Mapa final'!$L$12="Baja",'Mapa final'!$P$12="Moderado"),CONCATENATE("R",'Mapa final'!$A$12),"")</f>
        <v/>
      </c>
      <c r="Y30" s="308"/>
      <c r="Z30" s="308" t="e">
        <f>IF(AND('Mapa final'!#REF!="Baja",'Mapa final'!#REF!="Moderado"),CONCATENATE("R",'Mapa final'!#REF!),"")</f>
        <v>#REF!</v>
      </c>
      <c r="AA30" s="309"/>
      <c r="AB30" s="283" t="e">
        <f>IF(AND('Mapa final'!#REF!="Baja",'Mapa final'!#REF!="Mayor"),CONCATENATE("R",'Mapa final'!#REF!),"")</f>
        <v>#REF!</v>
      </c>
      <c r="AC30" s="284"/>
      <c r="AD30" s="284" t="str">
        <f>IF(AND('Mapa final'!$L$12="Baja",'Mapa final'!$P$12="Mayor"),CONCATENATE("R",'Mapa final'!$A$12),"")</f>
        <v/>
      </c>
      <c r="AE30" s="284"/>
      <c r="AF30" s="284" t="e">
        <f>IF(AND('Mapa final'!#REF!="Baja",'Mapa final'!#REF!="Mayor"),CONCATENATE("R",'Mapa final'!#REF!),"")</f>
        <v>#REF!</v>
      </c>
      <c r="AG30" s="286"/>
      <c r="AH30" s="298" t="e">
        <f>IF(AND('Mapa final'!#REF!="Baja",'Mapa final'!#REF!="Catastrófico"),CONCATENATE("R",'Mapa final'!#REF!),"")</f>
        <v>#REF!</v>
      </c>
      <c r="AI30" s="299"/>
      <c r="AJ30" s="299" t="str">
        <f>IF(AND('Mapa final'!$L$12="Baja",'Mapa final'!$P$12="Catastrófico"),CONCATENATE("R",'Mapa final'!$A$12),"")</f>
        <v/>
      </c>
      <c r="AK30" s="299"/>
      <c r="AL30" s="299" t="e">
        <f>IF(AND('Mapa final'!#REF!="Baja",'Mapa final'!#REF!="Catastrófico"),CONCATENATE("R",'Mapa final'!#REF!),"")</f>
        <v>#REF!</v>
      </c>
      <c r="AM30" s="300"/>
      <c r="AN30" s="75"/>
      <c r="AO30" s="263" t="s">
        <v>81</v>
      </c>
      <c r="AP30" s="264"/>
      <c r="AQ30" s="264"/>
      <c r="AR30" s="264"/>
      <c r="AS30" s="264"/>
      <c r="AT30" s="26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34"/>
      <c r="C31" s="234"/>
      <c r="D31" s="235"/>
      <c r="E31" s="275"/>
      <c r="F31" s="276"/>
      <c r="G31" s="276"/>
      <c r="H31" s="276"/>
      <c r="I31" s="276"/>
      <c r="J31" s="312"/>
      <c r="K31" s="310"/>
      <c r="L31" s="310"/>
      <c r="M31" s="310"/>
      <c r="N31" s="310"/>
      <c r="O31" s="311"/>
      <c r="P31" s="302"/>
      <c r="Q31" s="302"/>
      <c r="R31" s="302"/>
      <c r="S31" s="302"/>
      <c r="T31" s="302"/>
      <c r="U31" s="303"/>
      <c r="V31" s="301"/>
      <c r="W31" s="302"/>
      <c r="X31" s="302"/>
      <c r="Y31" s="302"/>
      <c r="Z31" s="302"/>
      <c r="AA31" s="303"/>
      <c r="AB31" s="285"/>
      <c r="AC31" s="281"/>
      <c r="AD31" s="281"/>
      <c r="AE31" s="281"/>
      <c r="AF31" s="281"/>
      <c r="AG31" s="282"/>
      <c r="AH31" s="292"/>
      <c r="AI31" s="293"/>
      <c r="AJ31" s="293"/>
      <c r="AK31" s="293"/>
      <c r="AL31" s="293"/>
      <c r="AM31" s="294"/>
      <c r="AN31" s="75"/>
      <c r="AO31" s="266"/>
      <c r="AP31" s="267"/>
      <c r="AQ31" s="267"/>
      <c r="AR31" s="267"/>
      <c r="AS31" s="267"/>
      <c r="AT31" s="268"/>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34"/>
      <c r="C32" s="234"/>
      <c r="D32" s="235"/>
      <c r="E32" s="275"/>
      <c r="F32" s="276"/>
      <c r="G32" s="276"/>
      <c r="H32" s="276"/>
      <c r="I32" s="276"/>
      <c r="J32" s="312" t="e">
        <f>IF(AND('Mapa final'!#REF!="Baja",'Mapa final'!#REF!="Leve"),CONCATENATE("R",'Mapa final'!#REF!),"")</f>
        <v>#REF!</v>
      </c>
      <c r="K32" s="310"/>
      <c r="L32" s="310" t="e">
        <f>IF(AND('Mapa final'!#REF!="Baja",'Mapa final'!#REF!="Leve"),CONCATENATE("R",'Mapa final'!#REF!),"")</f>
        <v>#REF!</v>
      </c>
      <c r="M32" s="310"/>
      <c r="N32" s="310" t="e">
        <f>IF(AND('Mapa final'!#REF!="Baja",'Mapa final'!#REF!="Leve"),CONCATENATE("R",'Mapa final'!#REF!),"")</f>
        <v>#REF!</v>
      </c>
      <c r="O32" s="311"/>
      <c r="P32" s="302" t="e">
        <f>IF(AND('Mapa final'!#REF!="Baja",'Mapa final'!#REF!="Menor"),CONCATENATE("R",'Mapa final'!#REF!),"")</f>
        <v>#REF!</v>
      </c>
      <c r="Q32" s="302"/>
      <c r="R32" s="302" t="e">
        <f>IF(AND('Mapa final'!#REF!="Baja",'Mapa final'!#REF!="Menor"),CONCATENATE("R",'Mapa final'!#REF!),"")</f>
        <v>#REF!</v>
      </c>
      <c r="S32" s="302"/>
      <c r="T32" s="302" t="e">
        <f>IF(AND('Mapa final'!#REF!="Baja",'Mapa final'!#REF!="Menor"),CONCATENATE("R",'Mapa final'!#REF!),"")</f>
        <v>#REF!</v>
      </c>
      <c r="U32" s="303"/>
      <c r="V32" s="301" t="e">
        <f>IF(AND('Mapa final'!#REF!="Baja",'Mapa final'!#REF!="Moderado"),CONCATENATE("R",'Mapa final'!#REF!),"")</f>
        <v>#REF!</v>
      </c>
      <c r="W32" s="302"/>
      <c r="X32" s="302" t="e">
        <f>IF(AND('Mapa final'!#REF!="Baja",'Mapa final'!#REF!="Moderado"),CONCATENATE("R",'Mapa final'!#REF!),"")</f>
        <v>#REF!</v>
      </c>
      <c r="Y32" s="302"/>
      <c r="Z32" s="302" t="e">
        <f>IF(AND('Mapa final'!#REF!="Baja",'Mapa final'!#REF!="Moderado"),CONCATENATE("R",'Mapa final'!#REF!),"")</f>
        <v>#REF!</v>
      </c>
      <c r="AA32" s="303"/>
      <c r="AB32" s="285" t="e">
        <f>IF(AND('Mapa final'!#REF!="Baja",'Mapa final'!#REF!="Mayor"),CONCATENATE("R",'Mapa final'!#REF!),"")</f>
        <v>#REF!</v>
      </c>
      <c r="AC32" s="281"/>
      <c r="AD32" s="281" t="e">
        <f>IF(AND('Mapa final'!#REF!="Baja",'Mapa final'!#REF!="Mayor"),CONCATENATE("R",'Mapa final'!#REF!),"")</f>
        <v>#REF!</v>
      </c>
      <c r="AE32" s="281"/>
      <c r="AF32" s="281" t="e">
        <f>IF(AND('Mapa final'!#REF!="Baja",'Mapa final'!#REF!="Mayor"),CONCATENATE("R",'Mapa final'!#REF!),"")</f>
        <v>#REF!</v>
      </c>
      <c r="AG32" s="282"/>
      <c r="AH32" s="292" t="e">
        <f>IF(AND('Mapa final'!#REF!="Baja",'Mapa final'!#REF!="Catastrófico"),CONCATENATE("R",'Mapa final'!#REF!),"")</f>
        <v>#REF!</v>
      </c>
      <c r="AI32" s="293"/>
      <c r="AJ32" s="293" t="e">
        <f>IF(AND('Mapa final'!#REF!="Baja",'Mapa final'!#REF!="Catastrófico"),CONCATENATE("R",'Mapa final'!#REF!),"")</f>
        <v>#REF!</v>
      </c>
      <c r="AK32" s="293"/>
      <c r="AL32" s="293" t="e">
        <f>IF(AND('Mapa final'!#REF!="Baja",'Mapa final'!#REF!="Catastrófico"),CONCATENATE("R",'Mapa final'!#REF!),"")</f>
        <v>#REF!</v>
      </c>
      <c r="AM32" s="294"/>
      <c r="AN32" s="75"/>
      <c r="AO32" s="266"/>
      <c r="AP32" s="267"/>
      <c r="AQ32" s="267"/>
      <c r="AR32" s="267"/>
      <c r="AS32" s="267"/>
      <c r="AT32" s="268"/>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34"/>
      <c r="C33" s="234"/>
      <c r="D33" s="235"/>
      <c r="E33" s="275"/>
      <c r="F33" s="276"/>
      <c r="G33" s="276"/>
      <c r="H33" s="276"/>
      <c r="I33" s="276"/>
      <c r="J33" s="312"/>
      <c r="K33" s="310"/>
      <c r="L33" s="310"/>
      <c r="M33" s="310"/>
      <c r="N33" s="310"/>
      <c r="O33" s="311"/>
      <c r="P33" s="302"/>
      <c r="Q33" s="302"/>
      <c r="R33" s="302"/>
      <c r="S33" s="302"/>
      <c r="T33" s="302"/>
      <c r="U33" s="303"/>
      <c r="V33" s="301"/>
      <c r="W33" s="302"/>
      <c r="X33" s="302"/>
      <c r="Y33" s="302"/>
      <c r="Z33" s="302"/>
      <c r="AA33" s="303"/>
      <c r="AB33" s="285"/>
      <c r="AC33" s="281"/>
      <c r="AD33" s="281"/>
      <c r="AE33" s="281"/>
      <c r="AF33" s="281"/>
      <c r="AG33" s="282"/>
      <c r="AH33" s="292"/>
      <c r="AI33" s="293"/>
      <c r="AJ33" s="293"/>
      <c r="AK33" s="293"/>
      <c r="AL33" s="293"/>
      <c r="AM33" s="294"/>
      <c r="AN33" s="75"/>
      <c r="AO33" s="266"/>
      <c r="AP33" s="267"/>
      <c r="AQ33" s="267"/>
      <c r="AR33" s="267"/>
      <c r="AS33" s="267"/>
      <c r="AT33" s="268"/>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34"/>
      <c r="C34" s="234"/>
      <c r="D34" s="235"/>
      <c r="E34" s="275"/>
      <c r="F34" s="276"/>
      <c r="G34" s="276"/>
      <c r="H34" s="276"/>
      <c r="I34" s="276"/>
      <c r="J34" s="312" t="e">
        <f>IF(AND('Mapa final'!#REF!="Baja",'Mapa final'!#REF!="Leve"),CONCATENATE("R",'Mapa final'!#REF!),"")</f>
        <v>#REF!</v>
      </c>
      <c r="K34" s="310"/>
      <c r="L34" s="310" t="e">
        <f>IF(AND('Mapa final'!#REF!="Baja",'Mapa final'!#REF!="Leve"),CONCATENATE("R",'Mapa final'!#REF!),"")</f>
        <v>#REF!</v>
      </c>
      <c r="M34" s="310"/>
      <c r="N34" s="310" t="e">
        <f>IF(AND('Mapa final'!#REF!="Baja",'Mapa final'!#REF!="Leve"),CONCATENATE("R",'Mapa final'!#REF!),"")</f>
        <v>#REF!</v>
      </c>
      <c r="O34" s="311"/>
      <c r="P34" s="302" t="e">
        <f>IF(AND('Mapa final'!#REF!="Baja",'Mapa final'!#REF!="Menor"),CONCATENATE("R",'Mapa final'!#REF!),"")</f>
        <v>#REF!</v>
      </c>
      <c r="Q34" s="302"/>
      <c r="R34" s="302" t="e">
        <f>IF(AND('Mapa final'!#REF!="Baja",'Mapa final'!#REF!="Menor"),CONCATENATE("R",'Mapa final'!#REF!),"")</f>
        <v>#REF!</v>
      </c>
      <c r="S34" s="302"/>
      <c r="T34" s="302" t="e">
        <f>IF(AND('Mapa final'!#REF!="Baja",'Mapa final'!#REF!="Menor"),CONCATENATE("R",'Mapa final'!#REF!),"")</f>
        <v>#REF!</v>
      </c>
      <c r="U34" s="303"/>
      <c r="V34" s="301" t="e">
        <f>IF(AND('Mapa final'!#REF!="Baja",'Mapa final'!#REF!="Moderado"),CONCATENATE("R",'Mapa final'!#REF!),"")</f>
        <v>#REF!</v>
      </c>
      <c r="W34" s="302"/>
      <c r="X34" s="302" t="e">
        <f>IF(AND('Mapa final'!#REF!="Baja",'Mapa final'!#REF!="Moderado"),CONCATENATE("R",'Mapa final'!#REF!),"")</f>
        <v>#REF!</v>
      </c>
      <c r="Y34" s="302"/>
      <c r="Z34" s="302" t="e">
        <f>IF(AND('Mapa final'!#REF!="Baja",'Mapa final'!#REF!="Moderado"),CONCATENATE("R",'Mapa final'!#REF!),"")</f>
        <v>#REF!</v>
      </c>
      <c r="AA34" s="303"/>
      <c r="AB34" s="285" t="e">
        <f>IF(AND('Mapa final'!#REF!="Baja",'Mapa final'!#REF!="Mayor"),CONCATENATE("R",'Mapa final'!#REF!),"")</f>
        <v>#REF!</v>
      </c>
      <c r="AC34" s="281"/>
      <c r="AD34" s="281" t="e">
        <f>IF(AND('Mapa final'!#REF!="Baja",'Mapa final'!#REF!="Mayor"),CONCATENATE("R",'Mapa final'!#REF!),"")</f>
        <v>#REF!</v>
      </c>
      <c r="AE34" s="281"/>
      <c r="AF34" s="281" t="e">
        <f>IF(AND('Mapa final'!#REF!="Baja",'Mapa final'!#REF!="Mayor"),CONCATENATE("R",'Mapa final'!#REF!),"")</f>
        <v>#REF!</v>
      </c>
      <c r="AG34" s="282"/>
      <c r="AH34" s="292" t="e">
        <f>IF(AND('Mapa final'!#REF!="Baja",'Mapa final'!#REF!="Catastrófico"),CONCATENATE("R",'Mapa final'!#REF!),"")</f>
        <v>#REF!</v>
      </c>
      <c r="AI34" s="293"/>
      <c r="AJ34" s="293" t="e">
        <f>IF(AND('Mapa final'!#REF!="Baja",'Mapa final'!#REF!="Catastrófico"),CONCATENATE("R",'Mapa final'!#REF!),"")</f>
        <v>#REF!</v>
      </c>
      <c r="AK34" s="293"/>
      <c r="AL34" s="293" t="e">
        <f>IF(AND('Mapa final'!#REF!="Baja",'Mapa final'!#REF!="Catastrófico"),CONCATENATE("R",'Mapa final'!#REF!),"")</f>
        <v>#REF!</v>
      </c>
      <c r="AM34" s="294"/>
      <c r="AN34" s="75"/>
      <c r="AO34" s="266"/>
      <c r="AP34" s="267"/>
      <c r="AQ34" s="267"/>
      <c r="AR34" s="267"/>
      <c r="AS34" s="267"/>
      <c r="AT34" s="268"/>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34"/>
      <c r="C35" s="234"/>
      <c r="D35" s="235"/>
      <c r="E35" s="275"/>
      <c r="F35" s="276"/>
      <c r="G35" s="276"/>
      <c r="H35" s="276"/>
      <c r="I35" s="276"/>
      <c r="J35" s="312"/>
      <c r="K35" s="310"/>
      <c r="L35" s="310"/>
      <c r="M35" s="310"/>
      <c r="N35" s="310"/>
      <c r="O35" s="311"/>
      <c r="P35" s="302"/>
      <c r="Q35" s="302"/>
      <c r="R35" s="302"/>
      <c r="S35" s="302"/>
      <c r="T35" s="302"/>
      <c r="U35" s="303"/>
      <c r="V35" s="301"/>
      <c r="W35" s="302"/>
      <c r="X35" s="302"/>
      <c r="Y35" s="302"/>
      <c r="Z35" s="302"/>
      <c r="AA35" s="303"/>
      <c r="AB35" s="285"/>
      <c r="AC35" s="281"/>
      <c r="AD35" s="281"/>
      <c r="AE35" s="281"/>
      <c r="AF35" s="281"/>
      <c r="AG35" s="282"/>
      <c r="AH35" s="292"/>
      <c r="AI35" s="293"/>
      <c r="AJ35" s="293"/>
      <c r="AK35" s="293"/>
      <c r="AL35" s="293"/>
      <c r="AM35" s="294"/>
      <c r="AN35" s="75"/>
      <c r="AO35" s="266"/>
      <c r="AP35" s="267"/>
      <c r="AQ35" s="267"/>
      <c r="AR35" s="267"/>
      <c r="AS35" s="267"/>
      <c r="AT35" s="26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34"/>
      <c r="C36" s="234"/>
      <c r="D36" s="235"/>
      <c r="E36" s="275"/>
      <c r="F36" s="276"/>
      <c r="G36" s="276"/>
      <c r="H36" s="276"/>
      <c r="I36" s="276"/>
      <c r="J36" s="312" t="e">
        <f>IF(AND('Mapa final'!#REF!="Baja",'Mapa final'!#REF!="Leve"),CONCATENATE("R",'Mapa final'!#REF!),"")</f>
        <v>#REF!</v>
      </c>
      <c r="K36" s="310"/>
      <c r="L36" s="310" t="str">
        <f>IF(AND('Mapa final'!$L$14="Baja",'Mapa final'!$P$14="Leve"),CONCATENATE("R",'Mapa final'!$A$14),"")</f>
        <v/>
      </c>
      <c r="M36" s="310"/>
      <c r="N36" s="310" t="str">
        <f>IF(AND('Mapa final'!$L$16="Baja",'Mapa final'!$P$16="Leve"),CONCATENATE("R",'Mapa final'!$A$16),"")</f>
        <v/>
      </c>
      <c r="O36" s="311"/>
      <c r="P36" s="302" t="e">
        <f>IF(AND('Mapa final'!#REF!="Baja",'Mapa final'!#REF!="Menor"),CONCATENATE("R",'Mapa final'!#REF!),"")</f>
        <v>#REF!</v>
      </c>
      <c r="Q36" s="302"/>
      <c r="R36" s="302" t="str">
        <f>IF(AND('Mapa final'!$L$14="Baja",'Mapa final'!$P$14="Menor"),CONCATENATE("R",'Mapa final'!$A$14),"")</f>
        <v/>
      </c>
      <c r="S36" s="302"/>
      <c r="T36" s="302" t="str">
        <f>IF(AND('Mapa final'!$L$16="Baja",'Mapa final'!$P$16="Menor"),CONCATENATE("R",'Mapa final'!$A$16),"")</f>
        <v/>
      </c>
      <c r="U36" s="303"/>
      <c r="V36" s="301" t="e">
        <f>IF(AND('Mapa final'!#REF!="Baja",'Mapa final'!#REF!="Moderado"),CONCATENATE("R",'Mapa final'!#REF!),"")</f>
        <v>#REF!</v>
      </c>
      <c r="W36" s="302"/>
      <c r="X36" s="302" t="str">
        <f>IF(AND('Mapa final'!$L$14="Baja",'Mapa final'!$P$14="Moderado"),CONCATENATE("R",'Mapa final'!$A$14),"")</f>
        <v/>
      </c>
      <c r="Y36" s="302"/>
      <c r="Z36" s="302" t="str">
        <f>IF(AND('Mapa final'!$L$16="Baja",'Mapa final'!$P$16="Moderado"),CONCATENATE("R",'Mapa final'!$A$16),"")</f>
        <v/>
      </c>
      <c r="AA36" s="303"/>
      <c r="AB36" s="285" t="e">
        <f>IF(AND('Mapa final'!#REF!="Baja",'Mapa final'!#REF!="Mayor"),CONCATENATE("R",'Mapa final'!#REF!),"")</f>
        <v>#REF!</v>
      </c>
      <c r="AC36" s="281"/>
      <c r="AD36" s="281" t="str">
        <f>IF(AND('Mapa final'!$L$14="Baja",'Mapa final'!$P$14="Mayor"),CONCATENATE("R",'Mapa final'!$A$14),"")</f>
        <v/>
      </c>
      <c r="AE36" s="281"/>
      <c r="AF36" s="281" t="str">
        <f>IF(AND('Mapa final'!$L$16="Baja",'Mapa final'!$P$16="Mayor"),CONCATENATE("R",'Mapa final'!$A$16),"")</f>
        <v/>
      </c>
      <c r="AG36" s="282"/>
      <c r="AH36" s="292" t="e">
        <f>IF(AND('Mapa final'!#REF!="Baja",'Mapa final'!#REF!="Catastrófico"),CONCATENATE("R",'Mapa final'!#REF!),"")</f>
        <v>#REF!</v>
      </c>
      <c r="AI36" s="293"/>
      <c r="AJ36" s="293" t="str">
        <f>IF(AND('Mapa final'!$L$14="Baja",'Mapa final'!$P$14="Catastrófico"),CONCATENATE("R",'Mapa final'!$A$14),"")</f>
        <v/>
      </c>
      <c r="AK36" s="293"/>
      <c r="AL36" s="293" t="str">
        <f>IF(AND('Mapa final'!$L$16="Baja",'Mapa final'!$P$16="Catastrófico"),CONCATENATE("R",'Mapa final'!$A$16),"")</f>
        <v/>
      </c>
      <c r="AM36" s="294"/>
      <c r="AN36" s="75"/>
      <c r="AO36" s="266"/>
      <c r="AP36" s="267"/>
      <c r="AQ36" s="267"/>
      <c r="AR36" s="267"/>
      <c r="AS36" s="267"/>
      <c r="AT36" s="26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34"/>
      <c r="C37" s="234"/>
      <c r="D37" s="235"/>
      <c r="E37" s="278"/>
      <c r="F37" s="279"/>
      <c r="G37" s="279"/>
      <c r="H37" s="279"/>
      <c r="I37" s="279"/>
      <c r="J37" s="313"/>
      <c r="K37" s="314"/>
      <c r="L37" s="314"/>
      <c r="M37" s="314"/>
      <c r="N37" s="314"/>
      <c r="O37" s="315"/>
      <c r="P37" s="305"/>
      <c r="Q37" s="305"/>
      <c r="R37" s="305"/>
      <c r="S37" s="305"/>
      <c r="T37" s="305"/>
      <c r="U37" s="306"/>
      <c r="V37" s="304"/>
      <c r="W37" s="305"/>
      <c r="X37" s="305"/>
      <c r="Y37" s="305"/>
      <c r="Z37" s="305"/>
      <c r="AA37" s="306"/>
      <c r="AB37" s="289"/>
      <c r="AC37" s="290"/>
      <c r="AD37" s="290"/>
      <c r="AE37" s="290"/>
      <c r="AF37" s="290"/>
      <c r="AG37" s="291"/>
      <c r="AH37" s="295"/>
      <c r="AI37" s="296"/>
      <c r="AJ37" s="296"/>
      <c r="AK37" s="296"/>
      <c r="AL37" s="296"/>
      <c r="AM37" s="297"/>
      <c r="AN37" s="75"/>
      <c r="AO37" s="269"/>
      <c r="AP37" s="270"/>
      <c r="AQ37" s="270"/>
      <c r="AR37" s="270"/>
      <c r="AS37" s="270"/>
      <c r="AT37" s="27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34"/>
      <c r="C38" s="234"/>
      <c r="D38" s="235"/>
      <c r="E38" s="272" t="s">
        <v>112</v>
      </c>
      <c r="F38" s="273"/>
      <c r="G38" s="273"/>
      <c r="H38" s="273"/>
      <c r="I38" s="274"/>
      <c r="J38" s="316" t="e">
        <f>IF(AND('Mapa final'!#REF!="Muy Baja",'Mapa final'!#REF!="Leve"),CONCATENATE("R",'Mapa final'!#REF!),"")</f>
        <v>#REF!</v>
      </c>
      <c r="K38" s="317"/>
      <c r="L38" s="317" t="str">
        <f>IF(AND('Mapa final'!$L$12="Muy Baja",'Mapa final'!$P$12="Leve"),CONCATENATE("R",'Mapa final'!$A$12),"")</f>
        <v/>
      </c>
      <c r="M38" s="317"/>
      <c r="N38" s="317" t="e">
        <f>IF(AND('Mapa final'!#REF!="Muy Baja",'Mapa final'!#REF!="Leve"),CONCATENATE("R",'Mapa final'!#REF!),"")</f>
        <v>#REF!</v>
      </c>
      <c r="O38" s="318"/>
      <c r="P38" s="316" t="e">
        <f>IF(AND('Mapa final'!#REF!="Muy Baja",'Mapa final'!#REF!="Menor"),CONCATENATE("R",'Mapa final'!#REF!),"")</f>
        <v>#REF!</v>
      </c>
      <c r="Q38" s="317"/>
      <c r="R38" s="317" t="str">
        <f>IF(AND('Mapa final'!$L$12="Muy Baja",'Mapa final'!$P$12="Menor"),CONCATENATE("R",'Mapa final'!$A$12),"")</f>
        <v/>
      </c>
      <c r="S38" s="317"/>
      <c r="T38" s="317" t="e">
        <f>IF(AND('Mapa final'!#REF!="Muy Baja",'Mapa final'!#REF!="Menor"),CONCATENATE("R",'Mapa final'!#REF!),"")</f>
        <v>#REF!</v>
      </c>
      <c r="U38" s="318"/>
      <c r="V38" s="307" t="e">
        <f>IF(AND('Mapa final'!#REF!="Muy Baja",'Mapa final'!#REF!="Moderado"),CONCATENATE("R",'Mapa final'!#REF!),"")</f>
        <v>#REF!</v>
      </c>
      <c r="W38" s="308"/>
      <c r="X38" s="308" t="str">
        <f>IF(AND('Mapa final'!$L$12="Muy Baja",'Mapa final'!$P$12="Moderado"),CONCATENATE("R",'Mapa final'!$A$12),"")</f>
        <v/>
      </c>
      <c r="Y38" s="308"/>
      <c r="Z38" s="308" t="e">
        <f>IF(AND('Mapa final'!#REF!="Muy Baja",'Mapa final'!#REF!="Moderado"),CONCATENATE("R",'Mapa final'!#REF!),"")</f>
        <v>#REF!</v>
      </c>
      <c r="AA38" s="309"/>
      <c r="AB38" s="283" t="e">
        <f>IF(AND('Mapa final'!#REF!="Muy Baja",'Mapa final'!#REF!="Mayor"),CONCATENATE("R",'Mapa final'!#REF!),"")</f>
        <v>#REF!</v>
      </c>
      <c r="AC38" s="284"/>
      <c r="AD38" s="284" t="str">
        <f>IF(AND('Mapa final'!$L$12="Muy Baja",'Mapa final'!$P$12="Mayor"),CONCATENATE("R",'Mapa final'!$A$12),"")</f>
        <v/>
      </c>
      <c r="AE38" s="284"/>
      <c r="AF38" s="284" t="e">
        <f>IF(AND('Mapa final'!#REF!="Muy Baja",'Mapa final'!#REF!="Mayor"),CONCATENATE("R",'Mapa final'!#REF!),"")</f>
        <v>#REF!</v>
      </c>
      <c r="AG38" s="286"/>
      <c r="AH38" s="298" t="e">
        <f>IF(AND('Mapa final'!#REF!="Muy Baja",'Mapa final'!#REF!="Catastrófico"),CONCATENATE("R",'Mapa final'!#REF!),"")</f>
        <v>#REF!</v>
      </c>
      <c r="AI38" s="299"/>
      <c r="AJ38" s="299" t="str">
        <f>IF(AND('Mapa final'!$L$12="Muy Baja",'Mapa final'!$P$12="Catastrófico"),CONCATENATE("R",'Mapa final'!$A$12),"")</f>
        <v/>
      </c>
      <c r="AK38" s="299"/>
      <c r="AL38" s="299" t="e">
        <f>IF(AND('Mapa final'!#REF!="Muy Baja",'Mapa final'!#REF!="Catastrófico"),CONCATENATE("R",'Mapa final'!#REF!),"")</f>
        <v>#REF!</v>
      </c>
      <c r="AM38" s="300"/>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34"/>
      <c r="C39" s="234"/>
      <c r="D39" s="235"/>
      <c r="E39" s="275"/>
      <c r="F39" s="276"/>
      <c r="G39" s="276"/>
      <c r="H39" s="276"/>
      <c r="I39" s="277"/>
      <c r="J39" s="312"/>
      <c r="K39" s="310"/>
      <c r="L39" s="310"/>
      <c r="M39" s="310"/>
      <c r="N39" s="310"/>
      <c r="O39" s="311"/>
      <c r="P39" s="312"/>
      <c r="Q39" s="310"/>
      <c r="R39" s="310"/>
      <c r="S39" s="310"/>
      <c r="T39" s="310"/>
      <c r="U39" s="311"/>
      <c r="V39" s="301"/>
      <c r="W39" s="302"/>
      <c r="X39" s="302"/>
      <c r="Y39" s="302"/>
      <c r="Z39" s="302"/>
      <c r="AA39" s="303"/>
      <c r="AB39" s="285"/>
      <c r="AC39" s="281"/>
      <c r="AD39" s="281"/>
      <c r="AE39" s="281"/>
      <c r="AF39" s="281"/>
      <c r="AG39" s="282"/>
      <c r="AH39" s="292"/>
      <c r="AI39" s="293"/>
      <c r="AJ39" s="293"/>
      <c r="AK39" s="293"/>
      <c r="AL39" s="293"/>
      <c r="AM39" s="294"/>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34"/>
      <c r="C40" s="234"/>
      <c r="D40" s="235"/>
      <c r="E40" s="275"/>
      <c r="F40" s="276"/>
      <c r="G40" s="276"/>
      <c r="H40" s="276"/>
      <c r="I40" s="277"/>
      <c r="J40" s="312" t="e">
        <f>IF(AND('Mapa final'!#REF!="Muy Baja",'Mapa final'!#REF!="Leve"),CONCATENATE("R",'Mapa final'!#REF!),"")</f>
        <v>#REF!</v>
      </c>
      <c r="K40" s="310"/>
      <c r="L40" s="310" t="e">
        <f>IF(AND('Mapa final'!#REF!="Muy Baja",'Mapa final'!#REF!="Leve"),CONCATENATE("R",'Mapa final'!#REF!),"")</f>
        <v>#REF!</v>
      </c>
      <c r="M40" s="310"/>
      <c r="N40" s="310" t="e">
        <f>IF(AND('Mapa final'!#REF!="Muy Baja",'Mapa final'!#REF!="Leve"),CONCATENATE("R",'Mapa final'!#REF!),"")</f>
        <v>#REF!</v>
      </c>
      <c r="O40" s="311"/>
      <c r="P40" s="312" t="e">
        <f>IF(AND('Mapa final'!#REF!="Muy Baja",'Mapa final'!#REF!="Menor"),CONCATENATE("R",'Mapa final'!#REF!),"")</f>
        <v>#REF!</v>
      </c>
      <c r="Q40" s="310"/>
      <c r="R40" s="310" t="e">
        <f>IF(AND('Mapa final'!#REF!="Muy Baja",'Mapa final'!#REF!="Menor"),CONCATENATE("R",'Mapa final'!#REF!),"")</f>
        <v>#REF!</v>
      </c>
      <c r="S40" s="310"/>
      <c r="T40" s="310" t="e">
        <f>IF(AND('Mapa final'!#REF!="Muy Baja",'Mapa final'!#REF!="Menor"),CONCATENATE("R",'Mapa final'!#REF!),"")</f>
        <v>#REF!</v>
      </c>
      <c r="U40" s="311"/>
      <c r="V40" s="301" t="e">
        <f>IF(AND('Mapa final'!#REF!="Muy Baja",'Mapa final'!#REF!="Moderado"),CONCATENATE("R",'Mapa final'!#REF!),"")</f>
        <v>#REF!</v>
      </c>
      <c r="W40" s="302"/>
      <c r="X40" s="302" t="e">
        <f>IF(AND('Mapa final'!#REF!="Muy Baja",'Mapa final'!#REF!="Moderado"),CONCATENATE("R",'Mapa final'!#REF!),"")</f>
        <v>#REF!</v>
      </c>
      <c r="Y40" s="302"/>
      <c r="Z40" s="302" t="e">
        <f>IF(AND('Mapa final'!#REF!="Muy Baja",'Mapa final'!#REF!="Moderado"),CONCATENATE("R",'Mapa final'!#REF!),"")</f>
        <v>#REF!</v>
      </c>
      <c r="AA40" s="303"/>
      <c r="AB40" s="285" t="e">
        <f>IF(AND('Mapa final'!#REF!="Muy Baja",'Mapa final'!#REF!="Mayor"),CONCATENATE("R",'Mapa final'!#REF!),"")</f>
        <v>#REF!</v>
      </c>
      <c r="AC40" s="281"/>
      <c r="AD40" s="281" t="e">
        <f>IF(AND('Mapa final'!#REF!="Muy Baja",'Mapa final'!#REF!="Mayor"),CONCATENATE("R",'Mapa final'!#REF!),"")</f>
        <v>#REF!</v>
      </c>
      <c r="AE40" s="281"/>
      <c r="AF40" s="281" t="e">
        <f>IF(AND('Mapa final'!#REF!="Muy Baja",'Mapa final'!#REF!="Mayor"),CONCATENATE("R",'Mapa final'!#REF!),"")</f>
        <v>#REF!</v>
      </c>
      <c r="AG40" s="282"/>
      <c r="AH40" s="292" t="e">
        <f>IF(AND('Mapa final'!#REF!="Muy Baja",'Mapa final'!#REF!="Catastrófico"),CONCATENATE("R",'Mapa final'!#REF!),"")</f>
        <v>#REF!</v>
      </c>
      <c r="AI40" s="293"/>
      <c r="AJ40" s="293" t="e">
        <f>IF(AND('Mapa final'!#REF!="Muy Baja",'Mapa final'!#REF!="Catastrófico"),CONCATENATE("R",'Mapa final'!#REF!),"")</f>
        <v>#REF!</v>
      </c>
      <c r="AK40" s="293"/>
      <c r="AL40" s="293" t="e">
        <f>IF(AND('Mapa final'!#REF!="Muy Baja",'Mapa final'!#REF!="Catastrófico"),CONCATENATE("R",'Mapa final'!#REF!),"")</f>
        <v>#REF!</v>
      </c>
      <c r="AM40" s="294"/>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34"/>
      <c r="C41" s="234"/>
      <c r="D41" s="235"/>
      <c r="E41" s="275"/>
      <c r="F41" s="276"/>
      <c r="G41" s="276"/>
      <c r="H41" s="276"/>
      <c r="I41" s="277"/>
      <c r="J41" s="312"/>
      <c r="K41" s="310"/>
      <c r="L41" s="310"/>
      <c r="M41" s="310"/>
      <c r="N41" s="310"/>
      <c r="O41" s="311"/>
      <c r="P41" s="312"/>
      <c r="Q41" s="310"/>
      <c r="R41" s="310"/>
      <c r="S41" s="310"/>
      <c r="T41" s="310"/>
      <c r="U41" s="311"/>
      <c r="V41" s="301"/>
      <c r="W41" s="302"/>
      <c r="X41" s="302"/>
      <c r="Y41" s="302"/>
      <c r="Z41" s="302"/>
      <c r="AA41" s="303"/>
      <c r="AB41" s="285"/>
      <c r="AC41" s="281"/>
      <c r="AD41" s="281"/>
      <c r="AE41" s="281"/>
      <c r="AF41" s="281"/>
      <c r="AG41" s="282"/>
      <c r="AH41" s="292"/>
      <c r="AI41" s="293"/>
      <c r="AJ41" s="293"/>
      <c r="AK41" s="293"/>
      <c r="AL41" s="293"/>
      <c r="AM41" s="294"/>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34"/>
      <c r="C42" s="234"/>
      <c r="D42" s="235"/>
      <c r="E42" s="275"/>
      <c r="F42" s="276"/>
      <c r="G42" s="276"/>
      <c r="H42" s="276"/>
      <c r="I42" s="277"/>
      <c r="J42" s="312" t="e">
        <f>IF(AND('Mapa final'!#REF!="Muy Baja",'Mapa final'!#REF!="Leve"),CONCATENATE("R",'Mapa final'!#REF!),"")</f>
        <v>#REF!</v>
      </c>
      <c r="K42" s="310"/>
      <c r="L42" s="310" t="e">
        <f>IF(AND('Mapa final'!#REF!="Muy Baja",'Mapa final'!#REF!="Leve"),CONCATENATE("R",'Mapa final'!#REF!),"")</f>
        <v>#REF!</v>
      </c>
      <c r="M42" s="310"/>
      <c r="N42" s="310" t="e">
        <f>IF(AND('Mapa final'!#REF!="Muy Baja",'Mapa final'!#REF!="Leve"),CONCATENATE("R",'Mapa final'!#REF!),"")</f>
        <v>#REF!</v>
      </c>
      <c r="O42" s="311"/>
      <c r="P42" s="312" t="e">
        <f>IF(AND('Mapa final'!#REF!="Muy Baja",'Mapa final'!#REF!="Menor"),CONCATENATE("R",'Mapa final'!#REF!),"")</f>
        <v>#REF!</v>
      </c>
      <c r="Q42" s="310"/>
      <c r="R42" s="310" t="e">
        <f>IF(AND('Mapa final'!#REF!="Muy Baja",'Mapa final'!#REF!="Menor"),CONCATENATE("R",'Mapa final'!#REF!),"")</f>
        <v>#REF!</v>
      </c>
      <c r="S42" s="310"/>
      <c r="T42" s="310" t="e">
        <f>IF(AND('Mapa final'!#REF!="Muy Baja",'Mapa final'!#REF!="Menor"),CONCATENATE("R",'Mapa final'!#REF!),"")</f>
        <v>#REF!</v>
      </c>
      <c r="U42" s="311"/>
      <c r="V42" s="301" t="e">
        <f>IF(AND('Mapa final'!#REF!="Muy Baja",'Mapa final'!#REF!="Moderado"),CONCATENATE("R",'Mapa final'!#REF!),"")</f>
        <v>#REF!</v>
      </c>
      <c r="W42" s="302"/>
      <c r="X42" s="302" t="e">
        <f>IF(AND('Mapa final'!#REF!="Muy Baja",'Mapa final'!#REF!="Moderado"),CONCATENATE("R",'Mapa final'!#REF!),"")</f>
        <v>#REF!</v>
      </c>
      <c r="Y42" s="302"/>
      <c r="Z42" s="302" t="e">
        <f>IF(AND('Mapa final'!#REF!="Muy Baja",'Mapa final'!#REF!="Moderado"),CONCATENATE("R",'Mapa final'!#REF!),"")</f>
        <v>#REF!</v>
      </c>
      <c r="AA42" s="303"/>
      <c r="AB42" s="285" t="e">
        <f>IF(AND('Mapa final'!#REF!="Muy Baja",'Mapa final'!#REF!="Mayor"),CONCATENATE("R",'Mapa final'!#REF!),"")</f>
        <v>#REF!</v>
      </c>
      <c r="AC42" s="281"/>
      <c r="AD42" s="281" t="e">
        <f>IF(AND('Mapa final'!#REF!="Muy Baja",'Mapa final'!#REF!="Mayor"),CONCATENATE("R",'Mapa final'!#REF!),"")</f>
        <v>#REF!</v>
      </c>
      <c r="AE42" s="281"/>
      <c r="AF42" s="281" t="e">
        <f>IF(AND('Mapa final'!#REF!="Muy Baja",'Mapa final'!#REF!="Mayor"),CONCATENATE("R",'Mapa final'!#REF!),"")</f>
        <v>#REF!</v>
      </c>
      <c r="AG42" s="282"/>
      <c r="AH42" s="292" t="e">
        <f>IF(AND('Mapa final'!#REF!="Muy Baja",'Mapa final'!#REF!="Catastrófico"),CONCATENATE("R",'Mapa final'!#REF!),"")</f>
        <v>#REF!</v>
      </c>
      <c r="AI42" s="293"/>
      <c r="AJ42" s="293" t="e">
        <f>IF(AND('Mapa final'!#REF!="Muy Baja",'Mapa final'!#REF!="Catastrófico"),CONCATENATE("R",'Mapa final'!#REF!),"")</f>
        <v>#REF!</v>
      </c>
      <c r="AK42" s="293"/>
      <c r="AL42" s="293" t="e">
        <f>IF(AND('Mapa final'!#REF!="Muy Baja",'Mapa final'!#REF!="Catastrófico"),CONCATENATE("R",'Mapa final'!#REF!),"")</f>
        <v>#REF!</v>
      </c>
      <c r="AM42" s="294"/>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34"/>
      <c r="C43" s="234"/>
      <c r="D43" s="235"/>
      <c r="E43" s="275"/>
      <c r="F43" s="276"/>
      <c r="G43" s="276"/>
      <c r="H43" s="276"/>
      <c r="I43" s="277"/>
      <c r="J43" s="312"/>
      <c r="K43" s="310"/>
      <c r="L43" s="310"/>
      <c r="M43" s="310"/>
      <c r="N43" s="310"/>
      <c r="O43" s="311"/>
      <c r="P43" s="312"/>
      <c r="Q43" s="310"/>
      <c r="R43" s="310"/>
      <c r="S43" s="310"/>
      <c r="T43" s="310"/>
      <c r="U43" s="311"/>
      <c r="V43" s="301"/>
      <c r="W43" s="302"/>
      <c r="X43" s="302"/>
      <c r="Y43" s="302"/>
      <c r="Z43" s="302"/>
      <c r="AA43" s="303"/>
      <c r="AB43" s="285"/>
      <c r="AC43" s="281"/>
      <c r="AD43" s="281"/>
      <c r="AE43" s="281"/>
      <c r="AF43" s="281"/>
      <c r="AG43" s="282"/>
      <c r="AH43" s="292"/>
      <c r="AI43" s="293"/>
      <c r="AJ43" s="293"/>
      <c r="AK43" s="293"/>
      <c r="AL43" s="293"/>
      <c r="AM43" s="294"/>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34"/>
      <c r="C44" s="234"/>
      <c r="D44" s="235"/>
      <c r="E44" s="275"/>
      <c r="F44" s="276"/>
      <c r="G44" s="276"/>
      <c r="H44" s="276"/>
      <c r="I44" s="277"/>
      <c r="J44" s="312" t="e">
        <f>IF(AND('Mapa final'!#REF!="Muy Baja",'Mapa final'!#REF!="Leve"),CONCATENATE("R",'Mapa final'!#REF!),"")</f>
        <v>#REF!</v>
      </c>
      <c r="K44" s="310"/>
      <c r="L44" s="310" t="str">
        <f>IF(AND('Mapa final'!$L$14="Muy Baja",'Mapa final'!$P$14="Leve"),CONCATENATE("R",'Mapa final'!$A$14),"")</f>
        <v/>
      </c>
      <c r="M44" s="310"/>
      <c r="N44" s="310" t="str">
        <f>IF(AND('Mapa final'!$L$16="Muy Baja",'Mapa final'!$P$16="Leve"),CONCATENATE("R",'Mapa final'!$A$16),"")</f>
        <v/>
      </c>
      <c r="O44" s="311"/>
      <c r="P44" s="312" t="e">
        <f>IF(AND('Mapa final'!#REF!="Muy Baja",'Mapa final'!#REF!="Menor"),CONCATENATE("R",'Mapa final'!#REF!),"")</f>
        <v>#REF!</v>
      </c>
      <c r="Q44" s="310"/>
      <c r="R44" s="310" t="str">
        <f>IF(AND('Mapa final'!$L$14="Muy Baja",'Mapa final'!$P$14="Menor"),CONCATENATE("R",'Mapa final'!$A$14),"")</f>
        <v/>
      </c>
      <c r="S44" s="310"/>
      <c r="T44" s="310" t="str">
        <f>IF(AND('Mapa final'!$L$16="Muy Baja",'Mapa final'!$P$16="Menor"),CONCATENATE("R",'Mapa final'!$A$16),"")</f>
        <v/>
      </c>
      <c r="U44" s="311"/>
      <c r="V44" s="301" t="e">
        <f>IF(AND('Mapa final'!#REF!="Muy Baja",'Mapa final'!#REF!="Moderado"),CONCATENATE("R",'Mapa final'!#REF!),"")</f>
        <v>#REF!</v>
      </c>
      <c r="W44" s="302"/>
      <c r="X44" s="302" t="str">
        <f>IF(AND('Mapa final'!$L$14="Muy Baja",'Mapa final'!$P$14="Moderado"),CONCATENATE("R",'Mapa final'!$A$14),"")</f>
        <v/>
      </c>
      <c r="Y44" s="302"/>
      <c r="Z44" s="302" t="str">
        <f>IF(AND('Mapa final'!$L$16="Muy Baja",'Mapa final'!$P$16="Moderado"),CONCATENATE("R",'Mapa final'!$A$16),"")</f>
        <v/>
      </c>
      <c r="AA44" s="303"/>
      <c r="AB44" s="285" t="e">
        <f>IF(AND('Mapa final'!#REF!="Muy Baja",'Mapa final'!#REF!="Mayor"),CONCATENATE("R",'Mapa final'!#REF!),"")</f>
        <v>#REF!</v>
      </c>
      <c r="AC44" s="281"/>
      <c r="AD44" s="281" t="str">
        <f>IF(AND('Mapa final'!$L$14="Muy Baja",'Mapa final'!$P$14="Mayor"),CONCATENATE("R",'Mapa final'!$A$14),"")</f>
        <v/>
      </c>
      <c r="AE44" s="281"/>
      <c r="AF44" s="281" t="str">
        <f>IF(AND('Mapa final'!$L$16="Muy Baja",'Mapa final'!$P$16="Mayor"),CONCATENATE("R",'Mapa final'!$A$16),"")</f>
        <v/>
      </c>
      <c r="AG44" s="282"/>
      <c r="AH44" s="292" t="e">
        <f>IF(AND('Mapa final'!#REF!="Muy Baja",'Mapa final'!#REF!="Catastrófico"),CONCATENATE("R",'Mapa final'!#REF!),"")</f>
        <v>#REF!</v>
      </c>
      <c r="AI44" s="293"/>
      <c r="AJ44" s="293" t="str">
        <f>IF(AND('Mapa final'!$L$14="Muy Baja",'Mapa final'!$P$14="Catastrófico"),CONCATENATE("R",'Mapa final'!$A$14),"")</f>
        <v/>
      </c>
      <c r="AK44" s="293"/>
      <c r="AL44" s="293" t="str">
        <f>IF(AND('Mapa final'!$L$16="Muy Baja",'Mapa final'!$P$16="Catastrófico"),CONCATENATE("R",'Mapa final'!$A$16),"")</f>
        <v/>
      </c>
      <c r="AM44" s="294"/>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34"/>
      <c r="C45" s="234"/>
      <c r="D45" s="235"/>
      <c r="E45" s="278"/>
      <c r="F45" s="279"/>
      <c r="G45" s="279"/>
      <c r="H45" s="279"/>
      <c r="I45" s="280"/>
      <c r="J45" s="313"/>
      <c r="K45" s="314"/>
      <c r="L45" s="314"/>
      <c r="M45" s="314"/>
      <c r="N45" s="314"/>
      <c r="O45" s="315"/>
      <c r="P45" s="313"/>
      <c r="Q45" s="314"/>
      <c r="R45" s="314"/>
      <c r="S45" s="314"/>
      <c r="T45" s="314"/>
      <c r="U45" s="315"/>
      <c r="V45" s="304"/>
      <c r="W45" s="305"/>
      <c r="X45" s="305"/>
      <c r="Y45" s="305"/>
      <c r="Z45" s="305"/>
      <c r="AA45" s="306"/>
      <c r="AB45" s="289"/>
      <c r="AC45" s="290"/>
      <c r="AD45" s="290"/>
      <c r="AE45" s="290"/>
      <c r="AF45" s="290"/>
      <c r="AG45" s="291"/>
      <c r="AH45" s="295"/>
      <c r="AI45" s="296"/>
      <c r="AJ45" s="296"/>
      <c r="AK45" s="296"/>
      <c r="AL45" s="296"/>
      <c r="AM45" s="297"/>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72" t="s">
        <v>111</v>
      </c>
      <c r="K46" s="273"/>
      <c r="L46" s="273"/>
      <c r="M46" s="273"/>
      <c r="N46" s="273"/>
      <c r="O46" s="274"/>
      <c r="P46" s="272" t="s">
        <v>110</v>
      </c>
      <c r="Q46" s="273"/>
      <c r="R46" s="273"/>
      <c r="S46" s="273"/>
      <c r="T46" s="273"/>
      <c r="U46" s="274"/>
      <c r="V46" s="272" t="s">
        <v>109</v>
      </c>
      <c r="W46" s="273"/>
      <c r="X46" s="273"/>
      <c r="Y46" s="273"/>
      <c r="Z46" s="273"/>
      <c r="AA46" s="274"/>
      <c r="AB46" s="272" t="s">
        <v>108</v>
      </c>
      <c r="AC46" s="288"/>
      <c r="AD46" s="273"/>
      <c r="AE46" s="273"/>
      <c r="AF46" s="273"/>
      <c r="AG46" s="274"/>
      <c r="AH46" s="272" t="s">
        <v>107</v>
      </c>
      <c r="AI46" s="273"/>
      <c r="AJ46" s="273"/>
      <c r="AK46" s="273"/>
      <c r="AL46" s="273"/>
      <c r="AM46" s="274"/>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75"/>
      <c r="K47" s="276"/>
      <c r="L47" s="276"/>
      <c r="M47" s="276"/>
      <c r="N47" s="276"/>
      <c r="O47" s="277"/>
      <c r="P47" s="275"/>
      <c r="Q47" s="276"/>
      <c r="R47" s="276"/>
      <c r="S47" s="276"/>
      <c r="T47" s="276"/>
      <c r="U47" s="277"/>
      <c r="V47" s="275"/>
      <c r="W47" s="276"/>
      <c r="X47" s="276"/>
      <c r="Y47" s="276"/>
      <c r="Z47" s="276"/>
      <c r="AA47" s="277"/>
      <c r="AB47" s="275"/>
      <c r="AC47" s="276"/>
      <c r="AD47" s="276"/>
      <c r="AE47" s="276"/>
      <c r="AF47" s="276"/>
      <c r="AG47" s="277"/>
      <c r="AH47" s="275"/>
      <c r="AI47" s="276"/>
      <c r="AJ47" s="276"/>
      <c r="AK47" s="276"/>
      <c r="AL47" s="276"/>
      <c r="AM47" s="277"/>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75"/>
      <c r="K48" s="276"/>
      <c r="L48" s="276"/>
      <c r="M48" s="276"/>
      <c r="N48" s="276"/>
      <c r="O48" s="277"/>
      <c r="P48" s="275"/>
      <c r="Q48" s="276"/>
      <c r="R48" s="276"/>
      <c r="S48" s="276"/>
      <c r="T48" s="276"/>
      <c r="U48" s="277"/>
      <c r="V48" s="275"/>
      <c r="W48" s="276"/>
      <c r="X48" s="276"/>
      <c r="Y48" s="276"/>
      <c r="Z48" s="276"/>
      <c r="AA48" s="277"/>
      <c r="AB48" s="275"/>
      <c r="AC48" s="276"/>
      <c r="AD48" s="276"/>
      <c r="AE48" s="276"/>
      <c r="AF48" s="276"/>
      <c r="AG48" s="277"/>
      <c r="AH48" s="275"/>
      <c r="AI48" s="276"/>
      <c r="AJ48" s="276"/>
      <c r="AK48" s="276"/>
      <c r="AL48" s="276"/>
      <c r="AM48" s="277"/>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75"/>
      <c r="K49" s="276"/>
      <c r="L49" s="276"/>
      <c r="M49" s="276"/>
      <c r="N49" s="276"/>
      <c r="O49" s="277"/>
      <c r="P49" s="275"/>
      <c r="Q49" s="276"/>
      <c r="R49" s="276"/>
      <c r="S49" s="276"/>
      <c r="T49" s="276"/>
      <c r="U49" s="277"/>
      <c r="V49" s="275"/>
      <c r="W49" s="276"/>
      <c r="X49" s="276"/>
      <c r="Y49" s="276"/>
      <c r="Z49" s="276"/>
      <c r="AA49" s="277"/>
      <c r="AB49" s="275"/>
      <c r="AC49" s="276"/>
      <c r="AD49" s="276"/>
      <c r="AE49" s="276"/>
      <c r="AF49" s="276"/>
      <c r="AG49" s="277"/>
      <c r="AH49" s="275"/>
      <c r="AI49" s="276"/>
      <c r="AJ49" s="276"/>
      <c r="AK49" s="276"/>
      <c r="AL49" s="276"/>
      <c r="AM49" s="277"/>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75"/>
      <c r="K50" s="276"/>
      <c r="L50" s="276"/>
      <c r="M50" s="276"/>
      <c r="N50" s="276"/>
      <c r="O50" s="277"/>
      <c r="P50" s="275"/>
      <c r="Q50" s="276"/>
      <c r="R50" s="276"/>
      <c r="S50" s="276"/>
      <c r="T50" s="276"/>
      <c r="U50" s="277"/>
      <c r="V50" s="275"/>
      <c r="W50" s="276"/>
      <c r="X50" s="276"/>
      <c r="Y50" s="276"/>
      <c r="Z50" s="276"/>
      <c r="AA50" s="277"/>
      <c r="AB50" s="275"/>
      <c r="AC50" s="276"/>
      <c r="AD50" s="276"/>
      <c r="AE50" s="276"/>
      <c r="AF50" s="276"/>
      <c r="AG50" s="277"/>
      <c r="AH50" s="275"/>
      <c r="AI50" s="276"/>
      <c r="AJ50" s="276"/>
      <c r="AK50" s="276"/>
      <c r="AL50" s="276"/>
      <c r="AM50" s="277"/>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8"/>
      <c r="K51" s="279"/>
      <c r="L51" s="279"/>
      <c r="M51" s="279"/>
      <c r="N51" s="279"/>
      <c r="O51" s="280"/>
      <c r="P51" s="278"/>
      <c r="Q51" s="279"/>
      <c r="R51" s="279"/>
      <c r="S51" s="279"/>
      <c r="T51" s="279"/>
      <c r="U51" s="280"/>
      <c r="V51" s="278"/>
      <c r="W51" s="279"/>
      <c r="X51" s="279"/>
      <c r="Y51" s="279"/>
      <c r="Z51" s="279"/>
      <c r="AA51" s="280"/>
      <c r="AB51" s="278"/>
      <c r="AC51" s="279"/>
      <c r="AD51" s="279"/>
      <c r="AE51" s="279"/>
      <c r="AF51" s="279"/>
      <c r="AG51" s="280"/>
      <c r="AH51" s="278"/>
      <c r="AI51" s="279"/>
      <c r="AJ51" s="279"/>
      <c r="AK51" s="279"/>
      <c r="AL51" s="279"/>
      <c r="AM51" s="280"/>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5" t="s">
        <v>157</v>
      </c>
      <c r="C2" s="346"/>
      <c r="D2" s="346"/>
      <c r="E2" s="346"/>
      <c r="F2" s="346"/>
      <c r="G2" s="346"/>
      <c r="H2" s="346"/>
      <c r="I2" s="346"/>
      <c r="J2" s="287" t="s">
        <v>2</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6"/>
      <c r="C3" s="346"/>
      <c r="D3" s="346"/>
      <c r="E3" s="346"/>
      <c r="F3" s="346"/>
      <c r="G3" s="346"/>
      <c r="H3" s="346"/>
      <c r="I3" s="346"/>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6"/>
      <c r="C4" s="346"/>
      <c r="D4" s="346"/>
      <c r="E4" s="346"/>
      <c r="F4" s="346"/>
      <c r="G4" s="346"/>
      <c r="H4" s="346"/>
      <c r="I4" s="346"/>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34" t="s">
        <v>4</v>
      </c>
      <c r="C6" s="234"/>
      <c r="D6" s="235"/>
      <c r="E6" s="329" t="s">
        <v>115</v>
      </c>
      <c r="F6" s="330"/>
      <c r="G6" s="330"/>
      <c r="H6" s="330"/>
      <c r="I6" s="347"/>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6" t="s">
        <v>78</v>
      </c>
      <c r="AP6" s="337"/>
      <c r="AQ6" s="337"/>
      <c r="AR6" s="337"/>
      <c r="AS6" s="337"/>
      <c r="AT6" s="33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34"/>
      <c r="C7" s="234"/>
      <c r="D7" s="235"/>
      <c r="E7" s="333"/>
      <c r="F7" s="332"/>
      <c r="G7" s="332"/>
      <c r="H7" s="332"/>
      <c r="I7" s="348"/>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9"/>
      <c r="AP7" s="340"/>
      <c r="AQ7" s="340"/>
      <c r="AR7" s="340"/>
      <c r="AS7" s="340"/>
      <c r="AT7" s="34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34"/>
      <c r="C8" s="234"/>
      <c r="D8" s="235"/>
      <c r="E8" s="333"/>
      <c r="F8" s="332"/>
      <c r="G8" s="332"/>
      <c r="H8" s="332"/>
      <c r="I8" s="348"/>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9"/>
      <c r="AP8" s="340"/>
      <c r="AQ8" s="340"/>
      <c r="AR8" s="340"/>
      <c r="AS8" s="340"/>
      <c r="AT8" s="34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34"/>
      <c r="C9" s="234"/>
      <c r="D9" s="235"/>
      <c r="E9" s="333"/>
      <c r="F9" s="332"/>
      <c r="G9" s="332"/>
      <c r="H9" s="332"/>
      <c r="I9" s="348"/>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9"/>
      <c r="AP9" s="340"/>
      <c r="AQ9" s="340"/>
      <c r="AR9" s="340"/>
      <c r="AS9" s="340"/>
      <c r="AT9" s="34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34"/>
      <c r="C10" s="234"/>
      <c r="D10" s="235"/>
      <c r="E10" s="333"/>
      <c r="F10" s="332"/>
      <c r="G10" s="332"/>
      <c r="H10" s="332"/>
      <c r="I10" s="348"/>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9"/>
      <c r="AP10" s="340"/>
      <c r="AQ10" s="340"/>
      <c r="AR10" s="340"/>
      <c r="AS10" s="340"/>
      <c r="AT10" s="34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34"/>
      <c r="C11" s="234"/>
      <c r="D11" s="235"/>
      <c r="E11" s="333"/>
      <c r="F11" s="332"/>
      <c r="G11" s="332"/>
      <c r="H11" s="332"/>
      <c r="I11" s="348"/>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9"/>
      <c r="AP11" s="340"/>
      <c r="AQ11" s="340"/>
      <c r="AR11" s="340"/>
      <c r="AS11" s="340"/>
      <c r="AT11" s="34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34"/>
      <c r="C12" s="234"/>
      <c r="D12" s="235"/>
      <c r="E12" s="333"/>
      <c r="F12" s="332"/>
      <c r="G12" s="332"/>
      <c r="H12" s="332"/>
      <c r="I12" s="348"/>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9"/>
      <c r="AP12" s="340"/>
      <c r="AQ12" s="340"/>
      <c r="AR12" s="340"/>
      <c r="AS12" s="340"/>
      <c r="AT12" s="34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34"/>
      <c r="C13" s="234"/>
      <c r="D13" s="235"/>
      <c r="E13" s="333"/>
      <c r="F13" s="332"/>
      <c r="G13" s="332"/>
      <c r="H13" s="332"/>
      <c r="I13" s="348"/>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9"/>
      <c r="AP13" s="340"/>
      <c r="AQ13" s="340"/>
      <c r="AR13" s="340"/>
      <c r="AS13" s="340"/>
      <c r="AT13" s="341"/>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34"/>
      <c r="C14" s="234"/>
      <c r="D14" s="235"/>
      <c r="E14" s="333"/>
      <c r="F14" s="332"/>
      <c r="G14" s="332"/>
      <c r="H14" s="332"/>
      <c r="I14" s="348"/>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9"/>
      <c r="AP14" s="340"/>
      <c r="AQ14" s="340"/>
      <c r="AR14" s="340"/>
      <c r="AS14" s="340"/>
      <c r="AT14" s="341"/>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34"/>
      <c r="C15" s="234"/>
      <c r="D15" s="235"/>
      <c r="E15" s="334"/>
      <c r="F15" s="335"/>
      <c r="G15" s="335"/>
      <c r="H15" s="335"/>
      <c r="I15" s="349"/>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2"/>
      <c r="AP15" s="343"/>
      <c r="AQ15" s="343"/>
      <c r="AR15" s="343"/>
      <c r="AS15" s="343"/>
      <c r="AT15" s="344"/>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34"/>
      <c r="C16" s="234"/>
      <c r="D16" s="235"/>
      <c r="E16" s="329" t="s">
        <v>114</v>
      </c>
      <c r="F16" s="330"/>
      <c r="G16" s="330"/>
      <c r="H16" s="330"/>
      <c r="I16" s="330"/>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0" t="s">
        <v>79</v>
      </c>
      <c r="AP16" s="321"/>
      <c r="AQ16" s="321"/>
      <c r="AR16" s="321"/>
      <c r="AS16" s="321"/>
      <c r="AT16" s="322"/>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34"/>
      <c r="C17" s="234"/>
      <c r="D17" s="235"/>
      <c r="E17" s="331"/>
      <c r="F17" s="332"/>
      <c r="G17" s="332"/>
      <c r="H17" s="332"/>
      <c r="I17" s="332"/>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3"/>
      <c r="AP17" s="324"/>
      <c r="AQ17" s="324"/>
      <c r="AR17" s="324"/>
      <c r="AS17" s="324"/>
      <c r="AT17" s="32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34"/>
      <c r="C18" s="234"/>
      <c r="D18" s="235"/>
      <c r="E18" s="333"/>
      <c r="F18" s="332"/>
      <c r="G18" s="332"/>
      <c r="H18" s="332"/>
      <c r="I18" s="332"/>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3"/>
      <c r="AP18" s="324"/>
      <c r="AQ18" s="324"/>
      <c r="AR18" s="324"/>
      <c r="AS18" s="324"/>
      <c r="AT18" s="32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34"/>
      <c r="C19" s="234"/>
      <c r="D19" s="235"/>
      <c r="E19" s="333"/>
      <c r="F19" s="332"/>
      <c r="G19" s="332"/>
      <c r="H19" s="332"/>
      <c r="I19" s="332"/>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3"/>
      <c r="AP19" s="324"/>
      <c r="AQ19" s="324"/>
      <c r="AR19" s="324"/>
      <c r="AS19" s="324"/>
      <c r="AT19" s="32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34"/>
      <c r="C20" s="234"/>
      <c r="D20" s="235"/>
      <c r="E20" s="333"/>
      <c r="F20" s="332"/>
      <c r="G20" s="332"/>
      <c r="H20" s="332"/>
      <c r="I20" s="332"/>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3"/>
      <c r="AP20" s="324"/>
      <c r="AQ20" s="324"/>
      <c r="AR20" s="324"/>
      <c r="AS20" s="324"/>
      <c r="AT20" s="32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34"/>
      <c r="C21" s="234"/>
      <c r="D21" s="235"/>
      <c r="E21" s="333"/>
      <c r="F21" s="332"/>
      <c r="G21" s="332"/>
      <c r="H21" s="332"/>
      <c r="I21" s="332"/>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3"/>
      <c r="AP21" s="324"/>
      <c r="AQ21" s="324"/>
      <c r="AR21" s="324"/>
      <c r="AS21" s="324"/>
      <c r="AT21" s="32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34"/>
      <c r="C22" s="234"/>
      <c r="D22" s="235"/>
      <c r="E22" s="333"/>
      <c r="F22" s="332"/>
      <c r="G22" s="332"/>
      <c r="H22" s="332"/>
      <c r="I22" s="332"/>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3"/>
      <c r="AP22" s="324"/>
      <c r="AQ22" s="324"/>
      <c r="AR22" s="324"/>
      <c r="AS22" s="324"/>
      <c r="AT22" s="32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34"/>
      <c r="C23" s="234"/>
      <c r="D23" s="235"/>
      <c r="E23" s="333"/>
      <c r="F23" s="332"/>
      <c r="G23" s="332"/>
      <c r="H23" s="332"/>
      <c r="I23" s="332"/>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3"/>
      <c r="AP23" s="324"/>
      <c r="AQ23" s="324"/>
      <c r="AR23" s="324"/>
      <c r="AS23" s="324"/>
      <c r="AT23" s="32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34"/>
      <c r="C24" s="234"/>
      <c r="D24" s="235"/>
      <c r="E24" s="333"/>
      <c r="F24" s="332"/>
      <c r="G24" s="332"/>
      <c r="H24" s="332"/>
      <c r="I24" s="332"/>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3"/>
      <c r="AP24" s="324"/>
      <c r="AQ24" s="324"/>
      <c r="AR24" s="324"/>
      <c r="AS24" s="324"/>
      <c r="AT24" s="32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34"/>
      <c r="C25" s="234"/>
      <c r="D25" s="235"/>
      <c r="E25" s="334"/>
      <c r="F25" s="335"/>
      <c r="G25" s="335"/>
      <c r="H25" s="335"/>
      <c r="I25" s="335"/>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26"/>
      <c r="AP25" s="327"/>
      <c r="AQ25" s="327"/>
      <c r="AR25" s="327"/>
      <c r="AS25" s="327"/>
      <c r="AT25" s="328"/>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34"/>
      <c r="C26" s="234"/>
      <c r="D26" s="235"/>
      <c r="E26" s="329" t="s">
        <v>116</v>
      </c>
      <c r="F26" s="330"/>
      <c r="G26" s="330"/>
      <c r="H26" s="330"/>
      <c r="I26" s="347"/>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9" t="s">
        <v>80</v>
      </c>
      <c r="AP26" s="360"/>
      <c r="AQ26" s="360"/>
      <c r="AR26" s="360"/>
      <c r="AS26" s="360"/>
      <c r="AT26" s="36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34"/>
      <c r="C27" s="234"/>
      <c r="D27" s="235"/>
      <c r="E27" s="331"/>
      <c r="F27" s="332"/>
      <c r="G27" s="332"/>
      <c r="H27" s="332"/>
      <c r="I27" s="348"/>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62"/>
      <c r="AP27" s="363"/>
      <c r="AQ27" s="363"/>
      <c r="AR27" s="363"/>
      <c r="AS27" s="363"/>
      <c r="AT27" s="36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34"/>
      <c r="C28" s="234"/>
      <c r="D28" s="235"/>
      <c r="E28" s="333"/>
      <c r="F28" s="332"/>
      <c r="G28" s="332"/>
      <c r="H28" s="332"/>
      <c r="I28" s="348"/>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62"/>
      <c r="AP28" s="363"/>
      <c r="AQ28" s="363"/>
      <c r="AR28" s="363"/>
      <c r="AS28" s="363"/>
      <c r="AT28" s="36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34"/>
      <c r="C29" s="234"/>
      <c r="D29" s="235"/>
      <c r="E29" s="333"/>
      <c r="F29" s="332"/>
      <c r="G29" s="332"/>
      <c r="H29" s="332"/>
      <c r="I29" s="348"/>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62"/>
      <c r="AP29" s="363"/>
      <c r="AQ29" s="363"/>
      <c r="AR29" s="363"/>
      <c r="AS29" s="363"/>
      <c r="AT29" s="36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34"/>
      <c r="C30" s="234"/>
      <c r="D30" s="235"/>
      <c r="E30" s="333"/>
      <c r="F30" s="332"/>
      <c r="G30" s="332"/>
      <c r="H30" s="332"/>
      <c r="I30" s="348"/>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62"/>
      <c r="AP30" s="363"/>
      <c r="AQ30" s="363"/>
      <c r="AR30" s="363"/>
      <c r="AS30" s="363"/>
      <c r="AT30" s="36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34"/>
      <c r="C31" s="234"/>
      <c r="D31" s="235"/>
      <c r="E31" s="333"/>
      <c r="F31" s="332"/>
      <c r="G31" s="332"/>
      <c r="H31" s="332"/>
      <c r="I31" s="348"/>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62"/>
      <c r="AP31" s="363"/>
      <c r="AQ31" s="363"/>
      <c r="AR31" s="363"/>
      <c r="AS31" s="363"/>
      <c r="AT31" s="36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34"/>
      <c r="C32" s="234"/>
      <c r="D32" s="235"/>
      <c r="E32" s="333"/>
      <c r="F32" s="332"/>
      <c r="G32" s="332"/>
      <c r="H32" s="332"/>
      <c r="I32" s="348"/>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62"/>
      <c r="AP32" s="363"/>
      <c r="AQ32" s="363"/>
      <c r="AR32" s="363"/>
      <c r="AS32" s="363"/>
      <c r="AT32" s="36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34"/>
      <c r="C33" s="234"/>
      <c r="D33" s="235"/>
      <c r="E33" s="333"/>
      <c r="F33" s="332"/>
      <c r="G33" s="332"/>
      <c r="H33" s="332"/>
      <c r="I33" s="348"/>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62"/>
      <c r="AP33" s="363"/>
      <c r="AQ33" s="363"/>
      <c r="AR33" s="363"/>
      <c r="AS33" s="363"/>
      <c r="AT33" s="36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34"/>
      <c r="C34" s="234"/>
      <c r="D34" s="235"/>
      <c r="E34" s="333"/>
      <c r="F34" s="332"/>
      <c r="G34" s="332"/>
      <c r="H34" s="332"/>
      <c r="I34" s="348"/>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62"/>
      <c r="AP34" s="363"/>
      <c r="AQ34" s="363"/>
      <c r="AR34" s="363"/>
      <c r="AS34" s="363"/>
      <c r="AT34" s="36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34"/>
      <c r="C35" s="234"/>
      <c r="D35" s="235"/>
      <c r="E35" s="334"/>
      <c r="F35" s="335"/>
      <c r="G35" s="335"/>
      <c r="H35" s="335"/>
      <c r="I35" s="349"/>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65"/>
      <c r="AP35" s="366"/>
      <c r="AQ35" s="366"/>
      <c r="AR35" s="366"/>
      <c r="AS35" s="366"/>
      <c r="AT35" s="36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34"/>
      <c r="C36" s="234"/>
      <c r="D36" s="235"/>
      <c r="E36" s="329" t="s">
        <v>113</v>
      </c>
      <c r="F36" s="330"/>
      <c r="G36" s="330"/>
      <c r="H36" s="330"/>
      <c r="I36" s="330"/>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50" t="s">
        <v>81</v>
      </c>
      <c r="AP36" s="351"/>
      <c r="AQ36" s="351"/>
      <c r="AR36" s="351"/>
      <c r="AS36" s="351"/>
      <c r="AT36" s="352"/>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34"/>
      <c r="C37" s="234"/>
      <c r="D37" s="235"/>
      <c r="E37" s="331"/>
      <c r="F37" s="332"/>
      <c r="G37" s="332"/>
      <c r="H37" s="332"/>
      <c r="I37" s="332"/>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R2C1</v>
      </c>
      <c r="Q37" s="60" t="str">
        <f>IF(AND('Mapa final'!$AD$13="Baja",'Mapa final'!$AF$13="Menor"),CONCATENATE("R2C",'Mapa final'!$S$13),"")</f>
        <v>R2C1</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
      </c>
      <c r="W37" s="60" t="str">
        <f>IF(AND('Mapa final'!$AD$13="Baja",'Mapa final'!$AF$13="Moderado"),CONCATENATE("R2C",'Mapa final'!$S$13),"")</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53"/>
      <c r="AP37" s="354"/>
      <c r="AQ37" s="354"/>
      <c r="AR37" s="354"/>
      <c r="AS37" s="354"/>
      <c r="AT37" s="35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34"/>
      <c r="C38" s="234"/>
      <c r="D38" s="235"/>
      <c r="E38" s="333"/>
      <c r="F38" s="332"/>
      <c r="G38" s="332"/>
      <c r="H38" s="332"/>
      <c r="I38" s="332"/>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53"/>
      <c r="AP38" s="354"/>
      <c r="AQ38" s="354"/>
      <c r="AR38" s="354"/>
      <c r="AS38" s="354"/>
      <c r="AT38" s="35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34"/>
      <c r="C39" s="234"/>
      <c r="D39" s="235"/>
      <c r="E39" s="333"/>
      <c r="F39" s="332"/>
      <c r="G39" s="332"/>
      <c r="H39" s="332"/>
      <c r="I39" s="332"/>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53"/>
      <c r="AP39" s="354"/>
      <c r="AQ39" s="354"/>
      <c r="AR39" s="354"/>
      <c r="AS39" s="354"/>
      <c r="AT39" s="35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34"/>
      <c r="C40" s="234"/>
      <c r="D40" s="235"/>
      <c r="E40" s="333"/>
      <c r="F40" s="332"/>
      <c r="G40" s="332"/>
      <c r="H40" s="332"/>
      <c r="I40" s="332"/>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53"/>
      <c r="AP40" s="354"/>
      <c r="AQ40" s="354"/>
      <c r="AR40" s="354"/>
      <c r="AS40" s="354"/>
      <c r="AT40" s="35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34"/>
      <c r="C41" s="234"/>
      <c r="D41" s="235"/>
      <c r="E41" s="333"/>
      <c r="F41" s="332"/>
      <c r="G41" s="332"/>
      <c r="H41" s="332"/>
      <c r="I41" s="332"/>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53"/>
      <c r="AP41" s="354"/>
      <c r="AQ41" s="354"/>
      <c r="AR41" s="354"/>
      <c r="AS41" s="354"/>
      <c r="AT41" s="35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34"/>
      <c r="C42" s="234"/>
      <c r="D42" s="235"/>
      <c r="E42" s="333"/>
      <c r="F42" s="332"/>
      <c r="G42" s="332"/>
      <c r="H42" s="332"/>
      <c r="I42" s="332"/>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53"/>
      <c r="AP42" s="354"/>
      <c r="AQ42" s="354"/>
      <c r="AR42" s="354"/>
      <c r="AS42" s="354"/>
      <c r="AT42" s="35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34"/>
      <c r="C43" s="234"/>
      <c r="D43" s="235"/>
      <c r="E43" s="333"/>
      <c r="F43" s="332"/>
      <c r="G43" s="332"/>
      <c r="H43" s="332"/>
      <c r="I43" s="332"/>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53"/>
      <c r="AP43" s="354"/>
      <c r="AQ43" s="354"/>
      <c r="AR43" s="354"/>
      <c r="AS43" s="354"/>
      <c r="AT43" s="35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34"/>
      <c r="C44" s="234"/>
      <c r="D44" s="235"/>
      <c r="E44" s="333"/>
      <c r="F44" s="332"/>
      <c r="G44" s="332"/>
      <c r="H44" s="332"/>
      <c r="I44" s="332"/>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53"/>
      <c r="AP44" s="354"/>
      <c r="AQ44" s="354"/>
      <c r="AR44" s="354"/>
      <c r="AS44" s="354"/>
      <c r="AT44" s="35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34"/>
      <c r="C45" s="234"/>
      <c r="D45" s="235"/>
      <c r="E45" s="334"/>
      <c r="F45" s="335"/>
      <c r="G45" s="335"/>
      <c r="H45" s="335"/>
      <c r="I45" s="335"/>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56"/>
      <c r="AP45" s="357"/>
      <c r="AQ45" s="357"/>
      <c r="AR45" s="357"/>
      <c r="AS45" s="357"/>
      <c r="AT45" s="358"/>
    </row>
    <row r="46" spans="1:80" ht="46.5" customHeight="1" x14ac:dyDescent="0.35">
      <c r="A46" s="75"/>
      <c r="B46" s="234"/>
      <c r="C46" s="234"/>
      <c r="D46" s="235"/>
      <c r="E46" s="329" t="s">
        <v>112</v>
      </c>
      <c r="F46" s="330"/>
      <c r="G46" s="330"/>
      <c r="H46" s="330"/>
      <c r="I46" s="347"/>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34"/>
      <c r="C47" s="234"/>
      <c r="D47" s="235"/>
      <c r="E47" s="331"/>
      <c r="F47" s="332"/>
      <c r="G47" s="332"/>
      <c r="H47" s="332"/>
      <c r="I47" s="348"/>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34"/>
      <c r="C48" s="234"/>
      <c r="D48" s="235"/>
      <c r="E48" s="331"/>
      <c r="F48" s="332"/>
      <c r="G48" s="332"/>
      <c r="H48" s="332"/>
      <c r="I48" s="348"/>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34"/>
      <c r="C49" s="234"/>
      <c r="D49" s="235"/>
      <c r="E49" s="333"/>
      <c r="F49" s="332"/>
      <c r="G49" s="332"/>
      <c r="H49" s="332"/>
      <c r="I49" s="348"/>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34"/>
      <c r="C50" s="234"/>
      <c r="D50" s="235"/>
      <c r="E50" s="333"/>
      <c r="F50" s="332"/>
      <c r="G50" s="332"/>
      <c r="H50" s="332"/>
      <c r="I50" s="348"/>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34"/>
      <c r="C51" s="234"/>
      <c r="D51" s="235"/>
      <c r="E51" s="333"/>
      <c r="F51" s="332"/>
      <c r="G51" s="332"/>
      <c r="H51" s="332"/>
      <c r="I51" s="348"/>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34"/>
      <c r="C52" s="234"/>
      <c r="D52" s="235"/>
      <c r="E52" s="333"/>
      <c r="F52" s="332"/>
      <c r="G52" s="332"/>
      <c r="H52" s="332"/>
      <c r="I52" s="348"/>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34"/>
      <c r="C53" s="234"/>
      <c r="D53" s="235"/>
      <c r="E53" s="333"/>
      <c r="F53" s="332"/>
      <c r="G53" s="332"/>
      <c r="H53" s="332"/>
      <c r="I53" s="348"/>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34"/>
      <c r="C54" s="234"/>
      <c r="D54" s="235"/>
      <c r="E54" s="333"/>
      <c r="F54" s="332"/>
      <c r="G54" s="332"/>
      <c r="H54" s="332"/>
      <c r="I54" s="348"/>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34"/>
      <c r="C55" s="234"/>
      <c r="D55" s="235"/>
      <c r="E55" s="334"/>
      <c r="F55" s="335"/>
      <c r="G55" s="335"/>
      <c r="H55" s="335"/>
      <c r="I55" s="349"/>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29" t="s">
        <v>111</v>
      </c>
      <c r="K56" s="330"/>
      <c r="L56" s="330"/>
      <c r="M56" s="330"/>
      <c r="N56" s="330"/>
      <c r="O56" s="347"/>
      <c r="P56" s="329" t="s">
        <v>110</v>
      </c>
      <c r="Q56" s="330"/>
      <c r="R56" s="330"/>
      <c r="S56" s="330"/>
      <c r="T56" s="330"/>
      <c r="U56" s="347"/>
      <c r="V56" s="329" t="s">
        <v>109</v>
      </c>
      <c r="W56" s="330"/>
      <c r="X56" s="330"/>
      <c r="Y56" s="330"/>
      <c r="Z56" s="330"/>
      <c r="AA56" s="347"/>
      <c r="AB56" s="329" t="s">
        <v>108</v>
      </c>
      <c r="AC56" s="368"/>
      <c r="AD56" s="330"/>
      <c r="AE56" s="330"/>
      <c r="AF56" s="330"/>
      <c r="AG56" s="347"/>
      <c r="AH56" s="329" t="s">
        <v>107</v>
      </c>
      <c r="AI56" s="330"/>
      <c r="AJ56" s="330"/>
      <c r="AK56" s="330"/>
      <c r="AL56" s="330"/>
      <c r="AM56" s="347"/>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33"/>
      <c r="K57" s="332"/>
      <c r="L57" s="332"/>
      <c r="M57" s="332"/>
      <c r="N57" s="332"/>
      <c r="O57" s="348"/>
      <c r="P57" s="333"/>
      <c r="Q57" s="332"/>
      <c r="R57" s="332"/>
      <c r="S57" s="332"/>
      <c r="T57" s="332"/>
      <c r="U57" s="348"/>
      <c r="V57" s="333"/>
      <c r="W57" s="332"/>
      <c r="X57" s="332"/>
      <c r="Y57" s="332"/>
      <c r="Z57" s="332"/>
      <c r="AA57" s="348"/>
      <c r="AB57" s="333"/>
      <c r="AC57" s="332"/>
      <c r="AD57" s="332"/>
      <c r="AE57" s="332"/>
      <c r="AF57" s="332"/>
      <c r="AG57" s="348"/>
      <c r="AH57" s="333"/>
      <c r="AI57" s="332"/>
      <c r="AJ57" s="332"/>
      <c r="AK57" s="332"/>
      <c r="AL57" s="332"/>
      <c r="AM57" s="348"/>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33"/>
      <c r="K58" s="332"/>
      <c r="L58" s="332"/>
      <c r="M58" s="332"/>
      <c r="N58" s="332"/>
      <c r="O58" s="348"/>
      <c r="P58" s="333"/>
      <c r="Q58" s="332"/>
      <c r="R58" s="332"/>
      <c r="S58" s="332"/>
      <c r="T58" s="332"/>
      <c r="U58" s="348"/>
      <c r="V58" s="333"/>
      <c r="W58" s="332"/>
      <c r="X58" s="332"/>
      <c r="Y58" s="332"/>
      <c r="Z58" s="332"/>
      <c r="AA58" s="348"/>
      <c r="AB58" s="333"/>
      <c r="AC58" s="332"/>
      <c r="AD58" s="332"/>
      <c r="AE58" s="332"/>
      <c r="AF58" s="332"/>
      <c r="AG58" s="348"/>
      <c r="AH58" s="333"/>
      <c r="AI58" s="332"/>
      <c r="AJ58" s="332"/>
      <c r="AK58" s="332"/>
      <c r="AL58" s="332"/>
      <c r="AM58" s="348"/>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33"/>
      <c r="K59" s="332"/>
      <c r="L59" s="332"/>
      <c r="M59" s="332"/>
      <c r="N59" s="332"/>
      <c r="O59" s="348"/>
      <c r="P59" s="333"/>
      <c r="Q59" s="332"/>
      <c r="R59" s="332"/>
      <c r="S59" s="332"/>
      <c r="T59" s="332"/>
      <c r="U59" s="348"/>
      <c r="V59" s="333"/>
      <c r="W59" s="332"/>
      <c r="X59" s="332"/>
      <c r="Y59" s="332"/>
      <c r="Z59" s="332"/>
      <c r="AA59" s="348"/>
      <c r="AB59" s="333"/>
      <c r="AC59" s="332"/>
      <c r="AD59" s="332"/>
      <c r="AE59" s="332"/>
      <c r="AF59" s="332"/>
      <c r="AG59" s="348"/>
      <c r="AH59" s="333"/>
      <c r="AI59" s="332"/>
      <c r="AJ59" s="332"/>
      <c r="AK59" s="332"/>
      <c r="AL59" s="332"/>
      <c r="AM59" s="348"/>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33"/>
      <c r="K60" s="332"/>
      <c r="L60" s="332"/>
      <c r="M60" s="332"/>
      <c r="N60" s="332"/>
      <c r="O60" s="348"/>
      <c r="P60" s="333"/>
      <c r="Q60" s="332"/>
      <c r="R60" s="332"/>
      <c r="S60" s="332"/>
      <c r="T60" s="332"/>
      <c r="U60" s="348"/>
      <c r="V60" s="333"/>
      <c r="W60" s="332"/>
      <c r="X60" s="332"/>
      <c r="Y60" s="332"/>
      <c r="Z60" s="332"/>
      <c r="AA60" s="348"/>
      <c r="AB60" s="333"/>
      <c r="AC60" s="332"/>
      <c r="AD60" s="332"/>
      <c r="AE60" s="332"/>
      <c r="AF60" s="332"/>
      <c r="AG60" s="348"/>
      <c r="AH60" s="333"/>
      <c r="AI60" s="332"/>
      <c r="AJ60" s="332"/>
      <c r="AK60" s="332"/>
      <c r="AL60" s="332"/>
      <c r="AM60" s="348"/>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34"/>
      <c r="K61" s="335"/>
      <c r="L61" s="335"/>
      <c r="M61" s="335"/>
      <c r="N61" s="335"/>
      <c r="O61" s="349"/>
      <c r="P61" s="334"/>
      <c r="Q61" s="335"/>
      <c r="R61" s="335"/>
      <c r="S61" s="335"/>
      <c r="T61" s="335"/>
      <c r="U61" s="349"/>
      <c r="V61" s="334"/>
      <c r="W61" s="335"/>
      <c r="X61" s="335"/>
      <c r="Y61" s="335"/>
      <c r="Z61" s="335"/>
      <c r="AA61" s="349"/>
      <c r="AB61" s="334"/>
      <c r="AC61" s="335"/>
      <c r="AD61" s="335"/>
      <c r="AE61" s="335"/>
      <c r="AF61" s="335"/>
      <c r="AG61" s="349"/>
      <c r="AH61" s="334"/>
      <c r="AI61" s="335"/>
      <c r="AJ61" s="335"/>
      <c r="AK61" s="335"/>
      <c r="AL61" s="335"/>
      <c r="AM61" s="349"/>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69" t="s">
        <v>54</v>
      </c>
      <c r="C1" s="369"/>
      <c r="D1" s="369"/>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70" t="s">
        <v>62</v>
      </c>
      <c r="C1" s="370"/>
      <c r="D1" s="370"/>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71" t="s">
        <v>77</v>
      </c>
      <c r="C1" s="372"/>
      <c r="D1" s="372"/>
      <c r="E1" s="372"/>
      <c r="F1" s="373"/>
    </row>
    <row r="2" spans="2:6" ht="16.5" thickBot="1" x14ac:dyDescent="0.3">
      <c r="B2" s="81"/>
      <c r="C2" s="81"/>
      <c r="D2" s="81"/>
      <c r="E2" s="81"/>
      <c r="F2" s="81"/>
    </row>
    <row r="3" spans="2:6" ht="16.5" thickBot="1" x14ac:dyDescent="0.25">
      <c r="B3" s="375" t="s">
        <v>63</v>
      </c>
      <c r="C3" s="376"/>
      <c r="D3" s="376"/>
      <c r="E3" s="93" t="s">
        <v>64</v>
      </c>
      <c r="F3" s="94" t="s">
        <v>65</v>
      </c>
    </row>
    <row r="4" spans="2:6" ht="31.5" x14ac:dyDescent="0.2">
      <c r="B4" s="377" t="s">
        <v>66</v>
      </c>
      <c r="C4" s="379" t="s">
        <v>13</v>
      </c>
      <c r="D4" s="82" t="s">
        <v>14</v>
      </c>
      <c r="E4" s="83" t="s">
        <v>67</v>
      </c>
      <c r="F4" s="84">
        <v>0.25</v>
      </c>
    </row>
    <row r="5" spans="2:6" ht="47.25" x14ac:dyDescent="0.2">
      <c r="B5" s="378"/>
      <c r="C5" s="380"/>
      <c r="D5" s="85" t="s">
        <v>15</v>
      </c>
      <c r="E5" s="86" t="s">
        <v>68</v>
      </c>
      <c r="F5" s="87">
        <v>0.15</v>
      </c>
    </row>
    <row r="6" spans="2:6" ht="47.25" x14ac:dyDescent="0.2">
      <c r="B6" s="378"/>
      <c r="C6" s="380"/>
      <c r="D6" s="85" t="s">
        <v>16</v>
      </c>
      <c r="E6" s="86" t="s">
        <v>69</v>
      </c>
      <c r="F6" s="87">
        <v>0.1</v>
      </c>
    </row>
    <row r="7" spans="2:6" ht="63" x14ac:dyDescent="0.2">
      <c r="B7" s="378"/>
      <c r="C7" s="380" t="s">
        <v>17</v>
      </c>
      <c r="D7" s="85" t="s">
        <v>10</v>
      </c>
      <c r="E7" s="86" t="s">
        <v>70</v>
      </c>
      <c r="F7" s="87">
        <v>0.25</v>
      </c>
    </row>
    <row r="8" spans="2:6" ht="31.5" x14ac:dyDescent="0.2">
      <c r="B8" s="378"/>
      <c r="C8" s="380"/>
      <c r="D8" s="85" t="s">
        <v>9</v>
      </c>
      <c r="E8" s="86" t="s">
        <v>71</v>
      </c>
      <c r="F8" s="87">
        <v>0.15</v>
      </c>
    </row>
    <row r="9" spans="2:6" ht="47.25" x14ac:dyDescent="0.2">
      <c r="B9" s="378" t="s">
        <v>159</v>
      </c>
      <c r="C9" s="380" t="s">
        <v>18</v>
      </c>
      <c r="D9" s="85" t="s">
        <v>19</v>
      </c>
      <c r="E9" s="86" t="s">
        <v>72</v>
      </c>
      <c r="F9" s="88" t="s">
        <v>73</v>
      </c>
    </row>
    <row r="10" spans="2:6" ht="63" x14ac:dyDescent="0.2">
      <c r="B10" s="378"/>
      <c r="C10" s="380"/>
      <c r="D10" s="85" t="s">
        <v>20</v>
      </c>
      <c r="E10" s="86" t="s">
        <v>74</v>
      </c>
      <c r="F10" s="88" t="s">
        <v>73</v>
      </c>
    </row>
    <row r="11" spans="2:6" ht="47.25" x14ac:dyDescent="0.2">
      <c r="B11" s="378"/>
      <c r="C11" s="380" t="s">
        <v>21</v>
      </c>
      <c r="D11" s="85" t="s">
        <v>22</v>
      </c>
      <c r="E11" s="86" t="s">
        <v>75</v>
      </c>
      <c r="F11" s="88" t="s">
        <v>73</v>
      </c>
    </row>
    <row r="12" spans="2:6" ht="47.25" x14ac:dyDescent="0.2">
      <c r="B12" s="378"/>
      <c r="C12" s="380"/>
      <c r="D12" s="85" t="s">
        <v>23</v>
      </c>
      <c r="E12" s="86" t="s">
        <v>76</v>
      </c>
      <c r="F12" s="88" t="s">
        <v>73</v>
      </c>
    </row>
    <row r="13" spans="2:6" ht="31.5" x14ac:dyDescent="0.2">
      <c r="B13" s="378"/>
      <c r="C13" s="380" t="s">
        <v>24</v>
      </c>
      <c r="D13" s="85" t="s">
        <v>118</v>
      </c>
      <c r="E13" s="86" t="s">
        <v>121</v>
      </c>
      <c r="F13" s="88" t="s">
        <v>73</v>
      </c>
    </row>
    <row r="14" spans="2:6" ht="32.25" thickBot="1" x14ac:dyDescent="0.25">
      <c r="B14" s="381"/>
      <c r="C14" s="382"/>
      <c r="D14" s="89" t="s">
        <v>119</v>
      </c>
      <c r="E14" s="90" t="s">
        <v>120</v>
      </c>
      <c r="F14" s="91" t="s">
        <v>73</v>
      </c>
    </row>
    <row r="15" spans="2:6" ht="49.5" customHeight="1" x14ac:dyDescent="0.2">
      <c r="B15" s="374" t="s">
        <v>156</v>
      </c>
      <c r="C15" s="374"/>
      <c r="D15" s="374"/>
      <c r="E15" s="374"/>
      <c r="F15" s="374"/>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2023-02-14T21:18:04Z</dcterms:modified>
</cp:coreProperties>
</file>